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nabel\0-Burundi\00BDI_10079 Marché de service-BE infrastructures\EXE\EXE Lot-3 ADC\Tvaux_CEM Gitaba\FINAL\Lot3-1 Site Gitaba\"/>
    </mc:Choice>
  </mc:AlternateContent>
  <xr:revisionPtr revIDLastSave="0" documentId="13_ncr:1_{C3793919-2855-4256-B767-FAD29A4F190C}" xr6:coauthVersionLast="36" xr6:coauthVersionMax="36" xr10:uidLastSave="{00000000-0000-0000-0000-000000000000}"/>
  <bookViews>
    <workbookView xWindow="0" yWindow="0" windowWidth="23040" windowHeight="9312" tabRatio="908" xr2:uid="{00000000-000D-0000-FFFF-FFFF00000000}"/>
  </bookViews>
  <sheets>
    <sheet name="BPU" sheetId="35" r:id="rId1"/>
    <sheet name="DQE. AT. SOUDURE" sheetId="26" r:id="rId2"/>
    <sheet name="DQE. BLOC ADMN" sheetId="27" r:id="rId3"/>
    <sheet name="DQE.TAA" sheetId="19" r:id="rId4"/>
    <sheet name="DQE.BLOC SANITAIRE" sheetId="31" r:id="rId5"/>
    <sheet name="DQE.SALLE DE CLASSE" sheetId="29" r:id="rId6"/>
    <sheet name="DQE.LOCAL TECHNIQUE" sheetId="25" r:id="rId7"/>
    <sheet name="DQE.FOUR" sheetId="32" r:id="rId8"/>
    <sheet name="RECAPITULATIF" sheetId="34" r:id="rId9"/>
  </sheets>
  <calcPr calcId="191029"/>
</workbook>
</file>

<file path=xl/calcChain.xml><?xml version="1.0" encoding="utf-8"?>
<calcChain xmlns="http://schemas.openxmlformats.org/spreadsheetml/2006/main">
  <c r="F19" i="27" l="1"/>
  <c r="F59" i="27"/>
  <c r="F60" i="27"/>
  <c r="F61" i="27"/>
  <c r="F62" i="27"/>
  <c r="F58" i="27"/>
  <c r="E103" i="27"/>
  <c r="E102" i="27"/>
  <c r="E101" i="27"/>
  <c r="E5" i="26"/>
  <c r="E9" i="26"/>
  <c r="E10" i="26"/>
  <c r="E11" i="26"/>
  <c r="E15" i="26"/>
  <c r="E16" i="26"/>
  <c r="E20" i="26"/>
  <c r="E21" i="26"/>
  <c r="E22" i="26"/>
  <c r="E24" i="26"/>
  <c r="E25" i="26"/>
  <c r="E28" i="26"/>
  <c r="E29" i="26"/>
  <c r="E33" i="26"/>
  <c r="E34" i="26"/>
  <c r="E35" i="26"/>
  <c r="E36" i="26"/>
  <c r="E38" i="26"/>
  <c r="E40" i="26"/>
  <c r="E42" i="26"/>
  <c r="E43" i="26"/>
  <c r="E46" i="26"/>
  <c r="E47" i="26"/>
  <c r="E48" i="26"/>
  <c r="E27" i="29" l="1"/>
  <c r="F27" i="29" s="1"/>
  <c r="E28" i="31"/>
  <c r="F28" i="31" s="1"/>
  <c r="E14" i="31"/>
  <c r="E90" i="19"/>
  <c r="D90" i="19"/>
  <c r="D89" i="27"/>
  <c r="E89" i="27"/>
  <c r="E32" i="27"/>
  <c r="F32" i="27" s="1"/>
  <c r="F5" i="26" l="1"/>
  <c r="F6" i="26" s="1"/>
  <c r="E5" i="27"/>
  <c r="F5" i="27" s="1"/>
  <c r="E4" i="19"/>
  <c r="F4" i="19" s="1"/>
  <c r="F5" i="19" s="1"/>
  <c r="E4" i="31"/>
  <c r="F4" i="31" s="1"/>
  <c r="F5" i="31" s="1"/>
  <c r="E4" i="29"/>
  <c r="F4" i="29" s="1"/>
  <c r="F5" i="29" s="1"/>
  <c r="E4" i="25"/>
  <c r="F4" i="25" s="1"/>
  <c r="F5" i="25" s="1"/>
  <c r="E26" i="32"/>
  <c r="E24" i="32"/>
  <c r="B24" i="32"/>
  <c r="E15" i="32"/>
  <c r="E22" i="29"/>
  <c r="E7" i="29"/>
  <c r="B7" i="29"/>
  <c r="E55" i="31"/>
  <c r="E47" i="31"/>
  <c r="E30" i="31"/>
  <c r="E29" i="31"/>
  <c r="E25" i="31"/>
  <c r="E24" i="31"/>
  <c r="E23" i="31"/>
  <c r="E11" i="32"/>
  <c r="E19" i="31"/>
  <c r="A19" i="31"/>
  <c r="E7" i="31"/>
  <c r="A7" i="31"/>
  <c r="B7" i="31"/>
  <c r="E11" i="19"/>
  <c r="E10" i="19"/>
  <c r="A11" i="19"/>
  <c r="A10" i="19"/>
  <c r="E30" i="32"/>
  <c r="E25" i="32"/>
  <c r="E21" i="32"/>
  <c r="E19" i="32"/>
  <c r="E12" i="32"/>
  <c r="E8" i="32"/>
  <c r="E7" i="32"/>
  <c r="E4" i="32"/>
  <c r="E26" i="25"/>
  <c r="E23" i="25"/>
  <c r="E20" i="25"/>
  <c r="E19" i="25"/>
  <c r="E16" i="25"/>
  <c r="E14" i="25"/>
  <c r="E10" i="25"/>
  <c r="E8" i="25"/>
  <c r="E65" i="29"/>
  <c r="E62" i="29"/>
  <c r="E61" i="29"/>
  <c r="E58" i="29"/>
  <c r="E55" i="29"/>
  <c r="E53" i="29"/>
  <c r="E49" i="29"/>
  <c r="E48" i="29"/>
  <c r="E47" i="29"/>
  <c r="E46" i="29"/>
  <c r="E45" i="29"/>
  <c r="E44" i="29"/>
  <c r="E41" i="29"/>
  <c r="E40" i="29"/>
  <c r="E38" i="29"/>
  <c r="E37" i="29"/>
  <c r="E36" i="29"/>
  <c r="E32" i="29"/>
  <c r="E31" i="29"/>
  <c r="E30" i="29"/>
  <c r="E26" i="29"/>
  <c r="E25" i="29"/>
  <c r="E21" i="29"/>
  <c r="E19" i="29"/>
  <c r="E18" i="29"/>
  <c r="E17" i="29"/>
  <c r="E14" i="29"/>
  <c r="E13" i="29"/>
  <c r="E10" i="29"/>
  <c r="E52" i="31"/>
  <c r="E51" i="31"/>
  <c r="E50" i="31"/>
  <c r="E49" i="31"/>
  <c r="E48" i="31"/>
  <c r="E44" i="31"/>
  <c r="E43" i="31"/>
  <c r="E41" i="31"/>
  <c r="E40" i="31"/>
  <c r="E39" i="31"/>
  <c r="E35" i="31"/>
  <c r="E34" i="31"/>
  <c r="E33" i="31"/>
  <c r="E21" i="31"/>
  <c r="E22" i="31"/>
  <c r="E18" i="31"/>
  <c r="E13" i="31"/>
  <c r="E10" i="31"/>
  <c r="E104" i="19"/>
  <c r="E103" i="19"/>
  <c r="E102" i="19"/>
  <c r="E98" i="19"/>
  <c r="E95" i="19"/>
  <c r="E94" i="19"/>
  <c r="E93" i="19"/>
  <c r="E92" i="19"/>
  <c r="E91" i="19"/>
  <c r="E89" i="19"/>
  <c r="E85" i="19"/>
  <c r="E84" i="19"/>
  <c r="E82" i="19"/>
  <c r="E80" i="19"/>
  <c r="E79" i="19"/>
  <c r="E78" i="19"/>
  <c r="E77" i="19"/>
  <c r="E76" i="19"/>
  <c r="E75" i="19"/>
  <c r="E71" i="19"/>
  <c r="E70" i="19"/>
  <c r="E67" i="19"/>
  <c r="E64" i="19"/>
  <c r="E63" i="19"/>
  <c r="E61" i="19"/>
  <c r="E60" i="19"/>
  <c r="E56" i="19"/>
  <c r="E55" i="19"/>
  <c r="E54" i="19"/>
  <c r="E53" i="19"/>
  <c r="E52" i="19"/>
  <c r="E51" i="19"/>
  <c r="E48" i="19"/>
  <c r="E47" i="19"/>
  <c r="E45" i="19"/>
  <c r="E44" i="19"/>
  <c r="E43" i="19"/>
  <c r="E42" i="19"/>
  <c r="E38" i="19"/>
  <c r="E37" i="19"/>
  <c r="E36" i="19"/>
  <c r="E33" i="19"/>
  <c r="E32" i="19"/>
  <c r="E29" i="19"/>
  <c r="E28" i="19"/>
  <c r="E26" i="19"/>
  <c r="E25" i="19"/>
  <c r="E24" i="19"/>
  <c r="E20" i="19"/>
  <c r="E19" i="19"/>
  <c r="E16" i="19"/>
  <c r="E15" i="19"/>
  <c r="E12" i="19"/>
  <c r="E9" i="19"/>
  <c r="E8" i="19"/>
  <c r="F8" i="19" s="1"/>
  <c r="E108" i="27"/>
  <c r="F108" i="27" s="1"/>
  <c r="E107" i="27"/>
  <c r="F107" i="27" s="1"/>
  <c r="E106" i="27"/>
  <c r="F106" i="27" s="1"/>
  <c r="E97" i="27"/>
  <c r="E94" i="27"/>
  <c r="E93" i="27"/>
  <c r="E92" i="27"/>
  <c r="E91" i="27"/>
  <c r="E90" i="27"/>
  <c r="E88" i="27"/>
  <c r="E84" i="27"/>
  <c r="E83" i="27"/>
  <c r="E81" i="27"/>
  <c r="E79" i="27"/>
  <c r="E78" i="27"/>
  <c r="E77" i="27"/>
  <c r="E76" i="27"/>
  <c r="E75" i="27"/>
  <c r="E74" i="27"/>
  <c r="E73" i="27"/>
  <c r="E69" i="27"/>
  <c r="E68" i="27"/>
  <c r="E65" i="27"/>
  <c r="E62" i="27"/>
  <c r="E61" i="27"/>
  <c r="E59" i="27"/>
  <c r="E58" i="27"/>
  <c r="E54" i="27"/>
  <c r="E53" i="27"/>
  <c r="E52" i="27"/>
  <c r="E51" i="27"/>
  <c r="E50" i="27"/>
  <c r="E49" i="27"/>
  <c r="E46" i="27"/>
  <c r="E45" i="27"/>
  <c r="E43" i="27"/>
  <c r="E42" i="27"/>
  <c r="E41" i="27"/>
  <c r="E37" i="27"/>
  <c r="E36" i="27"/>
  <c r="E35" i="27"/>
  <c r="E31" i="27"/>
  <c r="E30" i="27"/>
  <c r="E27" i="27"/>
  <c r="E26" i="27"/>
  <c r="E24" i="27"/>
  <c r="E23" i="27"/>
  <c r="E22" i="27"/>
  <c r="E18" i="27"/>
  <c r="E17" i="27"/>
  <c r="E14" i="27"/>
  <c r="E13" i="27"/>
  <c r="E10" i="27"/>
  <c r="E9" i="27"/>
  <c r="E6" i="27"/>
  <c r="E4" i="27"/>
  <c r="B36" i="26"/>
  <c r="F65" i="29" l="1"/>
  <c r="F66" i="29" s="1"/>
  <c r="D51" i="19"/>
  <c r="D19" i="29" l="1"/>
  <c r="F19" i="29" s="1"/>
  <c r="D18" i="29"/>
  <c r="F18" i="29" s="1"/>
  <c r="D46" i="29"/>
  <c r="F46" i="29" s="1"/>
  <c r="D44" i="29"/>
  <c r="F44" i="29" s="1"/>
  <c r="D45" i="29"/>
  <c r="F45" i="29" s="1"/>
  <c r="D11" i="32"/>
  <c r="F11" i="32" s="1"/>
  <c r="F54" i="29"/>
  <c r="F55" i="29"/>
  <c r="F53" i="29"/>
  <c r="F47" i="29"/>
  <c r="F48" i="29"/>
  <c r="F49" i="29"/>
  <c r="F38" i="29"/>
  <c r="F39" i="29"/>
  <c r="F40" i="29"/>
  <c r="F30" i="29"/>
  <c r="F15" i="29"/>
  <c r="F16" i="29"/>
  <c r="F20" i="29"/>
  <c r="D25" i="29"/>
  <c r="F25" i="29" s="1"/>
  <c r="F55" i="31"/>
  <c r="F56" i="31" s="1"/>
  <c r="F51" i="31"/>
  <c r="F52" i="31"/>
  <c r="F40" i="31"/>
  <c r="F41" i="31"/>
  <c r="F42" i="31"/>
  <c r="F33" i="31"/>
  <c r="F25" i="31"/>
  <c r="F103" i="19"/>
  <c r="F104" i="19"/>
  <c r="F102" i="19"/>
  <c r="F98" i="19"/>
  <c r="F90" i="19"/>
  <c r="F92" i="19"/>
  <c r="F93" i="19"/>
  <c r="F94" i="19"/>
  <c r="F95" i="19"/>
  <c r="F89" i="19"/>
  <c r="F76" i="19"/>
  <c r="F77" i="19"/>
  <c r="F78" i="19"/>
  <c r="F79" i="19"/>
  <c r="F80" i="19"/>
  <c r="F81" i="19"/>
  <c r="F82" i="19"/>
  <c r="F83" i="19"/>
  <c r="F84" i="19"/>
  <c r="F85" i="19"/>
  <c r="F75" i="19"/>
  <c r="F61" i="19"/>
  <c r="F62" i="19"/>
  <c r="F63" i="19"/>
  <c r="F64" i="19"/>
  <c r="F67" i="19"/>
  <c r="F68" i="19" s="1"/>
  <c r="F70" i="19"/>
  <c r="F71" i="19"/>
  <c r="F60" i="19"/>
  <c r="F52" i="19"/>
  <c r="F53" i="19"/>
  <c r="F54" i="19"/>
  <c r="F55" i="19"/>
  <c r="F56" i="19"/>
  <c r="F51" i="19"/>
  <c r="F48" i="19"/>
  <c r="F47" i="19"/>
  <c r="F43" i="19"/>
  <c r="F44" i="19"/>
  <c r="F45" i="19"/>
  <c r="F42" i="19"/>
  <c r="F37" i="19"/>
  <c r="F38" i="19"/>
  <c r="F36" i="19"/>
  <c r="F33" i="19"/>
  <c r="F32" i="19"/>
  <c r="F25" i="19"/>
  <c r="F27" i="19"/>
  <c r="F28" i="19"/>
  <c r="F29" i="19"/>
  <c r="F24" i="19"/>
  <c r="F20" i="19"/>
  <c r="F19" i="19"/>
  <c r="F16" i="19"/>
  <c r="F11" i="19"/>
  <c r="F9" i="19"/>
  <c r="F12" i="19"/>
  <c r="F10" i="19"/>
  <c r="F102" i="27"/>
  <c r="F103" i="27"/>
  <c r="F101" i="27"/>
  <c r="F97" i="27"/>
  <c r="F89" i="27"/>
  <c r="F91" i="27"/>
  <c r="F92" i="27"/>
  <c r="F93" i="27"/>
  <c r="F94" i="27"/>
  <c r="F88" i="27"/>
  <c r="F82" i="27"/>
  <c r="F83" i="27"/>
  <c r="F84" i="27"/>
  <c r="F74" i="27"/>
  <c r="F75" i="27"/>
  <c r="F76" i="27"/>
  <c r="F77" i="27"/>
  <c r="F78" i="27"/>
  <c r="F79" i="27"/>
  <c r="F80" i="27"/>
  <c r="F81" i="27"/>
  <c r="F73" i="27"/>
  <c r="F65" i="27"/>
  <c r="F66" i="27" s="1"/>
  <c r="F52" i="27"/>
  <c r="F53" i="27"/>
  <c r="F54" i="27"/>
  <c r="F45" i="27"/>
  <c r="F46" i="27"/>
  <c r="F35" i="27"/>
  <c r="F25" i="27"/>
  <c r="F14" i="27"/>
  <c r="F10" i="27"/>
  <c r="D9" i="27"/>
  <c r="F9" i="27" s="1"/>
  <c r="F6" i="27"/>
  <c r="F4" i="27"/>
  <c r="F34" i="26"/>
  <c r="F35" i="26"/>
  <c r="F36" i="26"/>
  <c r="F37" i="26"/>
  <c r="F38" i="26"/>
  <c r="F40" i="26"/>
  <c r="F42" i="26"/>
  <c r="F43" i="26"/>
  <c r="F33" i="26"/>
  <c r="F29" i="26"/>
  <c r="F28" i="26"/>
  <c r="F21" i="26"/>
  <c r="F22" i="26"/>
  <c r="F23" i="26"/>
  <c r="D15" i="19"/>
  <c r="F15" i="19" s="1"/>
  <c r="F104" i="27" l="1"/>
  <c r="F44" i="26"/>
  <c r="F17" i="19"/>
  <c r="F11" i="27"/>
  <c r="F65" i="19"/>
  <c r="F72" i="19"/>
  <c r="F7" i="27"/>
  <c r="F30" i="26"/>
  <c r="F63" i="27"/>
  <c r="F98" i="27"/>
  <c r="F109" i="27"/>
  <c r="F86" i="19"/>
  <c r="F85" i="27"/>
  <c r="F50" i="29"/>
  <c r="F56" i="29"/>
  <c r="F57" i="19"/>
  <c r="F105" i="19"/>
  <c r="F21" i="19"/>
  <c r="F34" i="19"/>
  <c r="F99" i="19"/>
  <c r="F49" i="19"/>
  <c r="F39" i="19"/>
  <c r="F13" i="19"/>
  <c r="D26" i="19"/>
  <c r="F26" i="19" s="1"/>
  <c r="F30" i="19" s="1"/>
  <c r="D91" i="19"/>
  <c r="F91" i="19" s="1"/>
  <c r="F96" i="19" s="1"/>
  <c r="D30" i="27"/>
  <c r="F30" i="27" s="1"/>
  <c r="F106" i="19" l="1"/>
  <c r="C6" i="34" s="1"/>
  <c r="D41" i="29"/>
  <c r="F41" i="29" s="1"/>
  <c r="D32" i="29"/>
  <c r="F32" i="29" s="1"/>
  <c r="D14" i="29"/>
  <c r="F14" i="29" s="1"/>
  <c r="D31" i="29"/>
  <c r="F31" i="29" s="1"/>
  <c r="D26" i="29"/>
  <c r="F26" i="29" s="1"/>
  <c r="F28" i="29" s="1"/>
  <c r="D21" i="29"/>
  <c r="F21" i="29" s="1"/>
  <c r="D8" i="32"/>
  <c r="D35" i="31"/>
  <c r="F35" i="31" s="1"/>
  <c r="D26" i="27"/>
  <c r="F26" i="27" s="1"/>
  <c r="F33" i="29" l="1"/>
  <c r="D10" i="25"/>
  <c r="F10" i="25" s="1"/>
  <c r="D8" i="25"/>
  <c r="F8" i="25" s="1"/>
  <c r="F14" i="25"/>
  <c r="F16" i="25"/>
  <c r="F19" i="25"/>
  <c r="F20" i="25"/>
  <c r="F23" i="25"/>
  <c r="F24" i="25" s="1"/>
  <c r="D26" i="25"/>
  <c r="F26" i="25" s="1"/>
  <c r="F27" i="25" s="1"/>
  <c r="F17" i="25" l="1"/>
  <c r="F21" i="25"/>
  <c r="F11" i="25"/>
  <c r="F28" i="25" l="1"/>
  <c r="C9" i="34"/>
  <c r="F8" i="32" l="1"/>
  <c r="F19" i="32"/>
  <c r="F24" i="32"/>
  <c r="F25" i="32"/>
  <c r="F26" i="32"/>
  <c r="F30" i="32"/>
  <c r="F31" i="32" s="1"/>
  <c r="D21" i="32"/>
  <c r="F21" i="32" s="1"/>
  <c r="D15" i="32"/>
  <c r="F15" i="32" s="1"/>
  <c r="F16" i="32" s="1"/>
  <c r="D12" i="32"/>
  <c r="F12" i="32" s="1"/>
  <c r="F13" i="32" s="1"/>
  <c r="D7" i="32"/>
  <c r="F7" i="32" s="1"/>
  <c r="F22" i="32" l="1"/>
  <c r="F9" i="32"/>
  <c r="F27" i="32"/>
  <c r="F4" i="32"/>
  <c r="F5" i="32" s="1"/>
  <c r="D50" i="31"/>
  <c r="F50" i="31" s="1"/>
  <c r="D49" i="31"/>
  <c r="F49" i="31" s="1"/>
  <c r="D48" i="31"/>
  <c r="F48" i="31" s="1"/>
  <c r="D47" i="31"/>
  <c r="F47" i="31" s="1"/>
  <c r="D44" i="31"/>
  <c r="F44" i="31" s="1"/>
  <c r="D43" i="31"/>
  <c r="F43" i="31" s="1"/>
  <c r="D39" i="31"/>
  <c r="F39" i="31" s="1"/>
  <c r="F45" i="31" s="1"/>
  <c r="F34" i="31"/>
  <c r="F36" i="31" s="1"/>
  <c r="D30" i="31"/>
  <c r="F30" i="31" s="1"/>
  <c r="D29" i="31"/>
  <c r="F29" i="31" s="1"/>
  <c r="F31" i="31" s="1"/>
  <c r="F24" i="31"/>
  <c r="F23" i="31"/>
  <c r="F21" i="31"/>
  <c r="F22" i="31"/>
  <c r="D19" i="31"/>
  <c r="F19" i="31" s="1"/>
  <c r="D18" i="31"/>
  <c r="F18" i="31" s="1"/>
  <c r="D7" i="31"/>
  <c r="F14" i="31"/>
  <c r="D13" i="31"/>
  <c r="F13" i="31" s="1"/>
  <c r="D62" i="29"/>
  <c r="F62" i="29" s="1"/>
  <c r="D61" i="29"/>
  <c r="F61" i="29" s="1"/>
  <c r="D58" i="29"/>
  <c r="F58" i="29" s="1"/>
  <c r="F59" i="29" s="1"/>
  <c r="D37" i="29"/>
  <c r="F37" i="29" s="1"/>
  <c r="D36" i="29"/>
  <c r="F36" i="29" s="1"/>
  <c r="F42" i="29" s="1"/>
  <c r="D22" i="29"/>
  <c r="F22" i="29" s="1"/>
  <c r="D17" i="29"/>
  <c r="F17" i="29" s="1"/>
  <c r="D7" i="29"/>
  <c r="D13" i="29"/>
  <c r="F13" i="29" s="1"/>
  <c r="F23" i="29" s="1"/>
  <c r="F53" i="31" l="1"/>
  <c r="F63" i="29"/>
  <c r="F26" i="31"/>
  <c r="D10" i="29"/>
  <c r="F10" i="29" s="1"/>
  <c r="F11" i="29" s="1"/>
  <c r="F7" i="29"/>
  <c r="F8" i="29" s="1"/>
  <c r="F15" i="31"/>
  <c r="D10" i="31"/>
  <c r="F10" i="31" s="1"/>
  <c r="F11" i="31" s="1"/>
  <c r="F7" i="31"/>
  <c r="F8" i="31" s="1"/>
  <c r="F32" i="32"/>
  <c r="C10" i="34" s="1"/>
  <c r="D90" i="27"/>
  <c r="F90" i="27" s="1"/>
  <c r="F95" i="27" s="1"/>
  <c r="D69" i="27"/>
  <c r="F69" i="27" s="1"/>
  <c r="D51" i="27"/>
  <c r="F51" i="27" s="1"/>
  <c r="D50" i="27"/>
  <c r="F50" i="27" s="1"/>
  <c r="D49" i="27"/>
  <c r="F49" i="27" s="1"/>
  <c r="D43" i="27"/>
  <c r="D42" i="27"/>
  <c r="F42" i="27" s="1"/>
  <c r="D41" i="27"/>
  <c r="F41" i="27" s="1"/>
  <c r="F37" i="27"/>
  <c r="D18" i="27"/>
  <c r="F18" i="27" s="1"/>
  <c r="D36" i="27"/>
  <c r="F36" i="27" s="1"/>
  <c r="F31" i="27"/>
  <c r="F33" i="27" s="1"/>
  <c r="D27" i="27"/>
  <c r="F27" i="27" s="1"/>
  <c r="D24" i="27"/>
  <c r="F24" i="27" s="1"/>
  <c r="F23" i="27"/>
  <c r="D22" i="27"/>
  <c r="F22" i="27" s="1"/>
  <c r="D13" i="27"/>
  <c r="F13" i="27" s="1"/>
  <c r="F15" i="27" s="1"/>
  <c r="D17" i="27"/>
  <c r="F17" i="27" s="1"/>
  <c r="F57" i="31" l="1"/>
  <c r="C7" i="34" s="1"/>
  <c r="F67" i="29"/>
  <c r="C8" i="34" s="1"/>
  <c r="F55" i="27"/>
  <c r="F28" i="27"/>
  <c r="F38" i="27"/>
  <c r="D68" i="27"/>
  <c r="F68" i="27" s="1"/>
  <c r="F70" i="27" s="1"/>
  <c r="F43" i="27"/>
  <c r="F47" i="27" s="1"/>
  <c r="D48" i="26"/>
  <c r="F48" i="26" s="1"/>
  <c r="D47" i="26"/>
  <c r="F47" i="26" s="1"/>
  <c r="D46" i="26"/>
  <c r="F46" i="26" s="1"/>
  <c r="D25" i="26"/>
  <c r="F25" i="26" s="1"/>
  <c r="F24" i="26"/>
  <c r="D20" i="26"/>
  <c r="F20" i="26" s="1"/>
  <c r="D11" i="26"/>
  <c r="D10" i="26"/>
  <c r="F10" i="26" s="1"/>
  <c r="D9" i="26"/>
  <c r="F9" i="26" s="1"/>
  <c r="F110" i="27" l="1"/>
  <c r="C5" i="34" s="1"/>
  <c r="F49" i="26"/>
  <c r="F26" i="26"/>
  <c r="D16" i="26"/>
  <c r="F16" i="26" s="1"/>
  <c r="F11" i="26"/>
  <c r="F12" i="26" s="1"/>
  <c r="D15" i="26"/>
  <c r="F15" i="26" s="1"/>
  <c r="F17" i="26" s="1"/>
  <c r="F50" i="26" l="1"/>
  <c r="C4" i="34" s="1"/>
  <c r="C11" i="34" l="1"/>
</calcChain>
</file>

<file path=xl/sharedStrings.xml><?xml version="1.0" encoding="utf-8"?>
<sst xmlns="http://schemas.openxmlformats.org/spreadsheetml/2006/main" count="1369" uniqueCount="411">
  <si>
    <t>DESIGNATION DES TRAVAUX</t>
  </si>
  <si>
    <t>m²</t>
  </si>
  <si>
    <t>ml</t>
  </si>
  <si>
    <t>Qté</t>
  </si>
  <si>
    <t>FF</t>
  </si>
  <si>
    <t>N°</t>
  </si>
  <si>
    <t>Uté</t>
  </si>
  <si>
    <t>Hérisson de moellon de rivière ép. 20 cm</t>
  </si>
  <si>
    <t>pce</t>
  </si>
  <si>
    <t>ff</t>
  </si>
  <si>
    <t>m2</t>
  </si>
  <si>
    <t>INSTALLATION ET REPLI DU CHANTIER</t>
  </si>
  <si>
    <t>BET</t>
  </si>
  <si>
    <t>BETON</t>
  </si>
  <si>
    <t>PAVEMENT</t>
  </si>
  <si>
    <t>PAV.</t>
  </si>
  <si>
    <t>Film polyane</t>
  </si>
  <si>
    <t>MAC.</t>
  </si>
  <si>
    <t>MACONNERIE</t>
  </si>
  <si>
    <t>REV</t>
  </si>
  <si>
    <t>Revêtements muraux.</t>
  </si>
  <si>
    <t xml:space="preserve">Enduit au mortiers de ciment dosé à 400kg/m3 sur murs </t>
  </si>
  <si>
    <t>REV.1</t>
  </si>
  <si>
    <t>REV.1.1</t>
  </si>
  <si>
    <t>REV.1.2</t>
  </si>
  <si>
    <t>REV.2</t>
  </si>
  <si>
    <t xml:space="preserve"> REVETEMENTS</t>
  </si>
  <si>
    <t>Revêtement de sol</t>
  </si>
  <si>
    <t>REV.2.1</t>
  </si>
  <si>
    <t>REV.2.2</t>
  </si>
  <si>
    <t xml:space="preserve"> TOITURE</t>
  </si>
  <si>
    <t>TOIT.</t>
  </si>
  <si>
    <t>TOIT.1</t>
  </si>
  <si>
    <t>TOIT.2</t>
  </si>
  <si>
    <t>HUISSERIES ET FERRONNERIES</t>
  </si>
  <si>
    <t>HUI.</t>
  </si>
  <si>
    <t>Portes</t>
  </si>
  <si>
    <t>PEINTURE</t>
  </si>
  <si>
    <t>PEI.</t>
  </si>
  <si>
    <t xml:space="preserve">  ELECTRICITE</t>
  </si>
  <si>
    <t>ELE</t>
  </si>
  <si>
    <t>ELE.1</t>
  </si>
  <si>
    <t>ELE.3</t>
  </si>
  <si>
    <t>ELE.2</t>
  </si>
  <si>
    <t>fil V.OB.2.5 mm²</t>
  </si>
  <si>
    <t>CABLAGE ET PRISES DE COURANT</t>
  </si>
  <si>
    <t>LUMINAIRES</t>
  </si>
  <si>
    <t>PROTECTION</t>
  </si>
  <si>
    <t>coffrets divisionnaires avec barrette de terre, câblage et filerie</t>
  </si>
  <si>
    <t>ELE.1.1</t>
  </si>
  <si>
    <t>ELE.1.2</t>
  </si>
  <si>
    <t>ELE.1.3</t>
  </si>
  <si>
    <t>ELE.1.4</t>
  </si>
  <si>
    <t>ELE.1.5</t>
  </si>
  <si>
    <t>ELE.1.6</t>
  </si>
  <si>
    <t>ELE.2.1</t>
  </si>
  <si>
    <t>ELE.3.1</t>
  </si>
  <si>
    <t>INS-1</t>
  </si>
  <si>
    <t>INS-3</t>
  </si>
  <si>
    <t xml:space="preserve"> TERRASSEMENTS</t>
  </si>
  <si>
    <t>TER-</t>
  </si>
  <si>
    <t>TER-1</t>
  </si>
  <si>
    <t>EVACUATION DES EAUX PLUVIALES</t>
  </si>
  <si>
    <t>Caniveau maçonné en briques cuites</t>
  </si>
  <si>
    <t>Puisard d’infiltration</t>
  </si>
  <si>
    <t>EVAC-1</t>
  </si>
  <si>
    <t>EVAC-2</t>
  </si>
  <si>
    <t>BET-1</t>
  </si>
  <si>
    <t>BET-2</t>
  </si>
  <si>
    <t>PAV-1</t>
  </si>
  <si>
    <t>PAV-2</t>
  </si>
  <si>
    <t>HUI-1</t>
  </si>
  <si>
    <t>TER-2</t>
  </si>
  <si>
    <t>U</t>
  </si>
  <si>
    <t>SOUS TOTAL 1</t>
  </si>
  <si>
    <t>SOUS TOTAL 2</t>
  </si>
  <si>
    <t>SOUS TOTAL 3</t>
  </si>
  <si>
    <t>SOUS TOTAL 4</t>
  </si>
  <si>
    <t>SOUS TOTAL 5</t>
  </si>
  <si>
    <t>SOUS TOTAL 6</t>
  </si>
  <si>
    <t>SOUS TOTAL 7</t>
  </si>
  <si>
    <t>m3</t>
  </si>
  <si>
    <t>Terrassement en deblai et fouille pour fondation</t>
  </si>
  <si>
    <t>PREP-2</t>
  </si>
  <si>
    <t>Fil V.OB.1.5 mm²</t>
  </si>
  <si>
    <t xml:space="preserve">Prises de courant encastrées </t>
  </si>
  <si>
    <t>Deshebage,debroussage et decapage de la terre végétale et nettoyage du terrain</t>
  </si>
  <si>
    <t>Structure métalliques en tubes métalliques 60x40x1, 5 pour les poteaux du passage couvert</t>
  </si>
  <si>
    <t>FAUX PLAFOND</t>
  </si>
  <si>
    <t>Rouleaux</t>
  </si>
  <si>
    <t>Gaines</t>
  </si>
  <si>
    <t>Interrupteurs simple et vas et vient</t>
  </si>
  <si>
    <t>fourniture du reservois en plastique de 2,500litres</t>
  </si>
  <si>
    <t xml:space="preserve"> RESERVOIR </t>
  </si>
  <si>
    <t>Maconnerie en moellon</t>
  </si>
  <si>
    <t>Terrassement et fondation</t>
  </si>
  <si>
    <t>Tuyeau trop plein,tuyeau descendant,tuyeau d'alimentation d'alimentation de la borne fontaine,</t>
  </si>
  <si>
    <t>SOUS TOTAL 8</t>
  </si>
  <si>
    <t>SOUS TOTAL 9</t>
  </si>
  <si>
    <t>SOUS TOTAL 10</t>
  </si>
  <si>
    <t>SOUS TOTAL 11</t>
  </si>
  <si>
    <t>Réglettes et tubes  LED de 40W</t>
  </si>
  <si>
    <t>ELE.3.2</t>
  </si>
  <si>
    <t>mise à terre</t>
  </si>
  <si>
    <t>Panneau de chantier</t>
  </si>
  <si>
    <t>SOUS TOTAL 12</t>
  </si>
  <si>
    <t>SOUS TOTAL 13</t>
  </si>
  <si>
    <t xml:space="preserve">Peinture accrylique à eau sur mur intérieurs  </t>
  </si>
  <si>
    <t xml:space="preserve">Démolition </t>
  </si>
  <si>
    <t>TER</t>
  </si>
  <si>
    <t>TERRASSEMENT</t>
  </si>
  <si>
    <t>Fouilles pour fosse arabe</t>
  </si>
  <si>
    <t>BETONS</t>
  </si>
  <si>
    <t>Béton de propreté</t>
  </si>
  <si>
    <t>Béton non armé dosé à 300 kg/m3</t>
  </si>
  <si>
    <t>Béton armé dosé à 350 kg/m3</t>
  </si>
  <si>
    <t xml:space="preserve">Béton armé pour colonne </t>
  </si>
  <si>
    <t>Béton armé pour chaînages supérieurs</t>
  </si>
  <si>
    <t>Béton armé pour poutre au dessus de la fosse arabe</t>
  </si>
  <si>
    <t xml:space="preserve"> Béton armé pour bac à laver</t>
  </si>
  <si>
    <t>PAV</t>
  </si>
  <si>
    <t>Hérisson de moellons (ép. 25 cm)</t>
  </si>
  <si>
    <t>MAC</t>
  </si>
  <si>
    <t>MAC-1</t>
  </si>
  <si>
    <t xml:space="preserve">Roofing de protection contre l'humidité </t>
  </si>
  <si>
    <t>MAC-2</t>
  </si>
  <si>
    <t>Maçonnerie de briques cuites ép.20 cm</t>
  </si>
  <si>
    <t>Maçonneries de moellons des parois de la fosse arabe</t>
  </si>
  <si>
    <t>REVETEMENTS</t>
  </si>
  <si>
    <t>REV-1</t>
  </si>
  <si>
    <t>Revêtements muraux</t>
  </si>
  <si>
    <t>REV-1.1</t>
  </si>
  <si>
    <t>Enduit au mortier de ciment finition lisse (sur colonnes/chaînages extérieurs)</t>
  </si>
  <si>
    <t>REV-1.2</t>
  </si>
  <si>
    <t>REV-1.3</t>
  </si>
  <si>
    <t>REV-1.4</t>
  </si>
  <si>
    <t>REV-2</t>
  </si>
  <si>
    <t>Revêtement des sols</t>
  </si>
  <si>
    <t>REV-2.1</t>
  </si>
  <si>
    <t>Chape en ciment lissée</t>
  </si>
  <si>
    <t>REV-2.2</t>
  </si>
  <si>
    <t>Chape talochée sur trottoirs</t>
  </si>
  <si>
    <t>TOIT</t>
  </si>
  <si>
    <t>TOITURE</t>
  </si>
  <si>
    <t>TOIT-2</t>
  </si>
  <si>
    <t>Rampant en tube métallique 60x40x1,2</t>
  </si>
  <si>
    <t>TOIT-4</t>
  </si>
  <si>
    <t>TOIT-5</t>
  </si>
  <si>
    <t xml:space="preserve">Planche de rive (Profil C150 x 30 x 1,5) </t>
  </si>
  <si>
    <t>TOIT-6</t>
  </si>
  <si>
    <t>Gouttière en tôles plane ép.1,5</t>
  </si>
  <si>
    <t>Descente eaux pluviales en aluzinc</t>
  </si>
  <si>
    <t>HUI</t>
  </si>
  <si>
    <t>HUISSERIES</t>
  </si>
  <si>
    <t>HUI-1.1</t>
  </si>
  <si>
    <t>Portes métalliques</t>
  </si>
  <si>
    <t>Hérisson de moellon (ép. 25 cm)</t>
  </si>
  <si>
    <t>Désignation</t>
  </si>
  <si>
    <t>Unité</t>
  </si>
  <si>
    <t xml:space="preserve">PU TTC </t>
  </si>
  <si>
    <t>PT TTC</t>
  </si>
  <si>
    <t>INS-</t>
  </si>
  <si>
    <t>Installation de chantier</t>
  </si>
  <si>
    <t>INS-2</t>
  </si>
  <si>
    <t>Nettoyage et Repli de chantier</t>
  </si>
  <si>
    <t>m³</t>
  </si>
  <si>
    <t>Fouilles pour  fondations</t>
  </si>
  <si>
    <t>Béton armé pour chaînages haut et linteaux</t>
  </si>
  <si>
    <t>Roofing de protection contre l'humidité ascensionnelle dans les murs</t>
  </si>
  <si>
    <t>Maçonnerie en moellons pour soubassements</t>
  </si>
  <si>
    <t>Revêtement mural</t>
  </si>
  <si>
    <t>Enduit au mortier de ciment finition lisse</t>
  </si>
  <si>
    <t>TOIT-1</t>
  </si>
  <si>
    <t>HUI-2</t>
  </si>
  <si>
    <t>Fenêtres</t>
  </si>
  <si>
    <t>HUI-2.1</t>
  </si>
  <si>
    <t>PLF</t>
  </si>
  <si>
    <t>PLF-1</t>
  </si>
  <si>
    <t>PEI</t>
  </si>
  <si>
    <t>PEI-1</t>
  </si>
  <si>
    <t xml:space="preserve">Peinture vinylique </t>
  </si>
  <si>
    <t>PEI-2</t>
  </si>
  <si>
    <t>Terrassement en deblai de la plateforme</t>
  </si>
  <si>
    <t>Maçonnerie en moellons pour elevations</t>
  </si>
  <si>
    <t>Rejointoyage sur murs  extérieurs</t>
  </si>
  <si>
    <t>Pannes en tubes métalliques 40x40x1,5</t>
  </si>
  <si>
    <t>Couverture en tôles autoportant</t>
  </si>
  <si>
    <t>Béton armé pour chaînages Inferieurs</t>
  </si>
  <si>
    <t xml:space="preserve">Couverture en tôles ondulées autoportant  </t>
  </si>
  <si>
    <t>HUI-1.1.</t>
  </si>
  <si>
    <t>Rejointoyage</t>
  </si>
  <si>
    <t>Rejointoyage sur murs extérieurs et Interieurs</t>
  </si>
  <si>
    <t>Beton de forme</t>
  </si>
  <si>
    <t>Portes métalliques pleine avec imposte grillagé 100x260</t>
  </si>
  <si>
    <t>Fenêtre métallique vitrée avec imposte grillagée 180x135+Antivol 180x135</t>
  </si>
  <si>
    <t>Fil VOB 2,5</t>
  </si>
  <si>
    <t>rouleaux</t>
  </si>
  <si>
    <t>Gaine</t>
  </si>
  <si>
    <t>Béton de forme interieur</t>
  </si>
  <si>
    <t>Béton de forme pour trottoir</t>
  </si>
  <si>
    <t>Peinture glycérophtalique  sur huisserie et sur charpente metallique</t>
  </si>
  <si>
    <t>MAC-3</t>
  </si>
  <si>
    <t>TOIT-3</t>
  </si>
  <si>
    <t>ELE.1.7</t>
  </si>
  <si>
    <t>PREP-1</t>
  </si>
  <si>
    <t>PREP-3</t>
  </si>
  <si>
    <t>REV.1.3</t>
  </si>
  <si>
    <t>EVAC</t>
  </si>
  <si>
    <t>ELE-1</t>
  </si>
  <si>
    <t>ELE-1-1</t>
  </si>
  <si>
    <t>ELE-1-2</t>
  </si>
  <si>
    <t>ELE-1-3</t>
  </si>
  <si>
    <t>ELE-1-5</t>
  </si>
  <si>
    <t>ELE-3-2</t>
  </si>
  <si>
    <t>ELE-3-1</t>
  </si>
  <si>
    <t>ELE-3</t>
  </si>
  <si>
    <t>ELE-2-1</t>
  </si>
  <si>
    <t>ELE-2</t>
  </si>
  <si>
    <t>Faux plafond en multiplex sur gîtage en bois</t>
  </si>
  <si>
    <t>TOTAL POUR LE BLOC SANITAIRE  (HTVA)</t>
  </si>
  <si>
    <t>Peinture glycérophtalique sur mur, sur huisserie et sur charpente metallique</t>
  </si>
  <si>
    <t>TOTAL POUR UNE SALLE DE CLASSE  (HTVA)</t>
  </si>
  <si>
    <t>Tuyeau PVC 110 pour Collecte des eaux</t>
  </si>
  <si>
    <t>SCEP-</t>
  </si>
  <si>
    <t>SCEP-1</t>
  </si>
  <si>
    <t>SCEP-1-1</t>
  </si>
  <si>
    <t>SCEP-1-2</t>
  </si>
  <si>
    <t>SCEP-1-4</t>
  </si>
  <si>
    <t>SCEP-1-5</t>
  </si>
  <si>
    <t>SCEP-1-6</t>
  </si>
  <si>
    <t>SCEP-2</t>
  </si>
  <si>
    <t>Maconnerie en briques Cuites</t>
  </si>
  <si>
    <t>Revêtements du sol.</t>
  </si>
  <si>
    <t>REV.2.</t>
  </si>
  <si>
    <t>Panne en tube 40*40*1,5</t>
  </si>
  <si>
    <t>Demolition du four existant</t>
  </si>
  <si>
    <t xml:space="preserve">SySTEME DE COLLECTE DES EAUX PLUVIALES </t>
  </si>
  <si>
    <t>Rampants en  profilé IPE 150</t>
  </si>
  <si>
    <t>Pannes en tube métallique 40x40x1,2</t>
  </si>
  <si>
    <t>HUISSERIES ,FERRONNERIES ET MENUISERIE</t>
  </si>
  <si>
    <t xml:space="preserve">Engazonnement </t>
  </si>
  <si>
    <t xml:space="preserve">voirie </t>
  </si>
  <si>
    <t>Cloture en Bambou</t>
  </si>
  <si>
    <t>AMEN</t>
  </si>
  <si>
    <t>AMEN.1</t>
  </si>
  <si>
    <t>AMEN.2</t>
  </si>
  <si>
    <t>AMEN.3</t>
  </si>
  <si>
    <t>Peinture glycérophtalique  sur mur exterieur</t>
  </si>
  <si>
    <t>PU EN CHIFFRE(EURO)</t>
  </si>
  <si>
    <t>PU EN LETTRE (EURO)</t>
  </si>
  <si>
    <t>Raccordement électrique au reseau existant(Cable et accessoire  de raccordement)</t>
  </si>
  <si>
    <t xml:space="preserve">Raccordement au reseau  électrique  Solaire existant(cable et accessoire </t>
  </si>
  <si>
    <t>BPU POUR LA CONTRUCTION DUNE SALE DE CLASSE EN EXTENSION AU BLOC INFORMATIQUE+REHABILITATION D'UNE SALLE DE CLASSE EXISTANTE</t>
  </si>
  <si>
    <t>PU (EUROS)</t>
  </si>
  <si>
    <t>PT  (EUROS)</t>
  </si>
  <si>
    <t>Porte en bois(0,9x2,1)</t>
  </si>
  <si>
    <t>HUIS-1-2</t>
  </si>
  <si>
    <t xml:space="preserve">Peinture glycérophtalique  sur huisserie </t>
  </si>
  <si>
    <t>DQE. POUR LA REHABILITATION DU LOCAL TECHNIQUE DANS LE CEM GITABA</t>
  </si>
  <si>
    <t>PU (EURO)</t>
  </si>
  <si>
    <t>PT (EURO)</t>
  </si>
  <si>
    <t>SANITAIRE - PLOMBERIE</t>
  </si>
  <si>
    <t xml:space="preserve">Alimentation en eau </t>
  </si>
  <si>
    <t>Evier Simple</t>
  </si>
  <si>
    <t>Bac à laver</t>
  </si>
  <si>
    <t>SAN</t>
  </si>
  <si>
    <t>SAN-1</t>
  </si>
  <si>
    <t>Tuyaux d'alimentation 3/4 PPR +Accessoire</t>
  </si>
  <si>
    <t>SOUS TOTAL 14</t>
  </si>
  <si>
    <t>CONSTRUCTION NEUVE D'UN  BLOC SANITAIRE</t>
  </si>
  <si>
    <t>REHABILIATION DU LOCAL TECHNIQUE</t>
  </si>
  <si>
    <t>Porte métallique pleine 80x210 cm</t>
  </si>
  <si>
    <t>PT EN EURO HTVA</t>
  </si>
  <si>
    <t>CONSTRUCTION NEUVE D'UN FOUR</t>
  </si>
  <si>
    <t>TOTAL GENERAL</t>
  </si>
  <si>
    <r>
      <t>m</t>
    </r>
    <r>
      <rPr>
        <vertAlign val="superscript"/>
        <sz val="11"/>
        <rFont val="Arial Narrow"/>
        <family val="2"/>
      </rPr>
      <t>3</t>
    </r>
  </si>
  <si>
    <r>
      <t>Plinthe au mortier de ciment dosé à 450kg/m</t>
    </r>
    <r>
      <rPr>
        <vertAlign val="superscript"/>
        <sz val="11"/>
        <rFont val="Arial Narrow"/>
        <family val="2"/>
      </rPr>
      <t>3</t>
    </r>
  </si>
  <si>
    <r>
      <t>Chape lissée dosé à 400kg/m</t>
    </r>
    <r>
      <rPr>
        <vertAlign val="superscript"/>
        <sz val="11"/>
        <rFont val="Arial Narrow"/>
        <family val="2"/>
      </rPr>
      <t xml:space="preserve">3 </t>
    </r>
    <r>
      <rPr>
        <sz val="11"/>
        <rFont val="Arial Narrow"/>
        <family val="2"/>
      </rPr>
      <t>ép. 3 cm</t>
    </r>
  </si>
  <si>
    <r>
      <t>Chape talochée dosé à 400kg/m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 xml:space="preserve"> ép. 3 cm sur trottoir et caniveau</t>
    </r>
  </si>
  <si>
    <r>
      <t>m</t>
    </r>
    <r>
      <rPr>
        <vertAlign val="superscript"/>
        <sz val="11"/>
        <rFont val="Arial Narrow"/>
        <family val="2"/>
      </rPr>
      <t>2</t>
    </r>
  </si>
  <si>
    <t>TOTAL POUR L'ATELIER DE SOUDURE (HTVA)</t>
  </si>
  <si>
    <r>
      <t>Béton armé dosé à 350 kg/m</t>
    </r>
    <r>
      <rPr>
        <b/>
        <vertAlign val="superscript"/>
        <sz val="11"/>
        <rFont val="Arial Narrow"/>
        <family val="2"/>
      </rPr>
      <t>3</t>
    </r>
  </si>
  <si>
    <t>AMENAGEMENT DES ABORDS ET VOIRIE</t>
  </si>
  <si>
    <t>TOTAL POUR LA REHABILITATION DU LOCAL TECHNIQUE DANS LE CEM GITABA (HTVA)</t>
  </si>
  <si>
    <r>
      <t>Chape talochée dosé à 400kg/m</t>
    </r>
    <r>
      <rPr>
        <vertAlign val="superscript"/>
        <sz val="11"/>
        <rFont val="Arial Narrow"/>
        <family val="2"/>
      </rPr>
      <t>3</t>
    </r>
    <r>
      <rPr>
        <sz val="11"/>
        <rFont val="Arial Narrow"/>
        <family val="2"/>
      </rPr>
      <t xml:space="preserve"> ép. 3 cm sur passage couvert </t>
    </r>
  </si>
  <si>
    <t>CONSTRUCTION NEUVE D'UNE SALLE DE CLASSE EN EXTENSION DU  BLOC INFORMATIQUE+REHABILITATION D'UNE SALLE DE CLASSE EXISTANTE</t>
  </si>
  <si>
    <t>TRANSFORMATION DE 3 SALLES DE CLASSE EN ATELIER TAA+CONSTRUCTION NEUVE D'UNE SALLE DE CLASSE</t>
  </si>
  <si>
    <t>RECAPITULATIF POUR LES TRAVAUX DE CONSTRUCTION ET REHABILITATION DANS LE CEM GITABA AU BURUNDI</t>
  </si>
  <si>
    <t>REHABILITATION DE L'ATELIER DE SOUDURE</t>
  </si>
  <si>
    <t>Béton de forme  interieur</t>
  </si>
  <si>
    <t>Béton de forme  pour le trottoire</t>
  </si>
  <si>
    <t>Prises industrielles (triphasées)</t>
  </si>
  <si>
    <t>DEVIS QUANTITATIF ET ESTIMATIF POUR LA CONTRUCTION NEUVE DU BLOC ADMNISTRATION AU CEM GITABA</t>
  </si>
  <si>
    <t>TOTAL POUR LE BLOC ADMNINISTRATION (HTVA)</t>
  </si>
  <si>
    <t>TOTAL POUR LE FOUR TRADITIONNEL (HTVA)</t>
  </si>
  <si>
    <t>DQE POUR LA CONTRUCTION DUN FOUR TRADITIONNEL</t>
  </si>
  <si>
    <t>CONSTRUCTION NEUVE DU BLOC ADMNISTRATION</t>
  </si>
  <si>
    <t>lit de sable compacté</t>
  </si>
  <si>
    <t>FONDATION</t>
  </si>
  <si>
    <t>Remblai</t>
  </si>
  <si>
    <t>EVAC-</t>
  </si>
  <si>
    <t>unité</t>
  </si>
  <si>
    <t>PREPARATOIRE</t>
  </si>
  <si>
    <t>Demolition</t>
  </si>
  <si>
    <t>Demolition du beton de forme pour pavement interieur</t>
  </si>
  <si>
    <t>Enduit au mortier de ciment finition lisse dosé à 400kg/m³</t>
  </si>
  <si>
    <t>Plinthe au mortier de ciment dosé à 400kg/m³</t>
  </si>
  <si>
    <t>Chape talochée sur trottoirs et canieveau</t>
  </si>
  <si>
    <t>Deplacement du reseau existant</t>
  </si>
  <si>
    <t>PREP-4</t>
  </si>
  <si>
    <t>Maçonnerie en moellons pour Fondation</t>
  </si>
  <si>
    <t>HUISSERIES  ET FERRONNERIES ET MENUISERIE</t>
  </si>
  <si>
    <t>Etagere en Bois d'oeucalyptus</t>
  </si>
  <si>
    <t>HUI-2.2</t>
  </si>
  <si>
    <t>PREP-</t>
  </si>
  <si>
    <t>PREP-1-1</t>
  </si>
  <si>
    <t>PREP-1-2</t>
  </si>
  <si>
    <t>PREP-1-3</t>
  </si>
  <si>
    <t>Demolition de l'enduit</t>
  </si>
  <si>
    <t>Abbattage d'arbre et dessouchage</t>
  </si>
  <si>
    <t>FOND-</t>
  </si>
  <si>
    <t>FOND-1</t>
  </si>
  <si>
    <t>FOND-2</t>
  </si>
  <si>
    <t>BET-1-1</t>
  </si>
  <si>
    <t>BET-2-2</t>
  </si>
  <si>
    <t>BET-3-3</t>
  </si>
  <si>
    <t>BET-2.1</t>
  </si>
  <si>
    <t>BET-2,2</t>
  </si>
  <si>
    <t>Béton armé pour demi colonnes (et colonnes)</t>
  </si>
  <si>
    <t>REV-1,4</t>
  </si>
  <si>
    <t>Carreaux de faillance</t>
  </si>
  <si>
    <t xml:space="preserve">Terrassement </t>
  </si>
  <si>
    <t>SAN-1-2</t>
  </si>
  <si>
    <t>SAN-1-1</t>
  </si>
  <si>
    <t>SAN-1-3</t>
  </si>
  <si>
    <t>SOUS TOTAL 15</t>
  </si>
  <si>
    <t>PREPARATION</t>
  </si>
  <si>
    <t xml:space="preserve">Béton non armé </t>
  </si>
  <si>
    <t>Beton non armé</t>
  </si>
  <si>
    <t>Fil VOB 1,5</t>
  </si>
  <si>
    <t>PEI.2</t>
  </si>
  <si>
    <t>BET-2-</t>
  </si>
  <si>
    <t>BET-2.2</t>
  </si>
  <si>
    <t>BET-2.3</t>
  </si>
  <si>
    <t>BET-2.4</t>
  </si>
  <si>
    <t>TOI-2</t>
  </si>
  <si>
    <t>TRAVAUX.PREPATOIRE</t>
  </si>
  <si>
    <t>BET-1-2</t>
  </si>
  <si>
    <t>BET-1-3</t>
  </si>
  <si>
    <t>BET-2-1</t>
  </si>
  <si>
    <t>HUI-2.3</t>
  </si>
  <si>
    <t>DQE POUR LA REHABILITATION ET LA MISE EN NORME ELECTRIQUE  DE L'ATELEIR DE SOUDURE DANS LE  CEM GITABA</t>
  </si>
  <si>
    <t>PT EN (EURO)</t>
  </si>
  <si>
    <t>PT  (EURO)</t>
  </si>
  <si>
    <t>SOUS TOTAL 113</t>
  </si>
  <si>
    <t>SOUS TOTAL 16</t>
  </si>
  <si>
    <t>SOUS TOTAL 17</t>
  </si>
  <si>
    <t>SOUS TOTAL 18</t>
  </si>
  <si>
    <t>P.T (EURO)</t>
  </si>
  <si>
    <t>DQE POUR LA CONSTRUCTION NEUVE D'UN BLOC SANITAIRE</t>
  </si>
  <si>
    <r>
      <t>m</t>
    </r>
    <r>
      <rPr>
        <vertAlign val="superscript"/>
        <sz val="11"/>
        <color theme="1"/>
        <rFont val="Arial Narrow"/>
        <family val="2"/>
      </rPr>
      <t>3</t>
    </r>
  </si>
  <si>
    <r>
      <t>Béton armé dosé à 350 kg/m</t>
    </r>
    <r>
      <rPr>
        <b/>
        <vertAlign val="superscript"/>
        <sz val="11"/>
        <color theme="1"/>
        <rFont val="Arial Narrow"/>
        <family val="2"/>
      </rPr>
      <t>3</t>
    </r>
  </si>
  <si>
    <r>
      <t>m</t>
    </r>
    <r>
      <rPr>
        <vertAlign val="superscript"/>
        <sz val="11"/>
        <color theme="1"/>
        <rFont val="Arial Narrow"/>
        <family val="2"/>
      </rPr>
      <t>2</t>
    </r>
  </si>
  <si>
    <t>BPU POUR LES CONTRUCTIONS NEUVES ET REHABILITATION CEM_GITABA AU BURUNDI</t>
  </si>
  <si>
    <t>Béton de forme intérieur</t>
  </si>
  <si>
    <t>Porte métallique en tôlel plane de 3 mm d'epaisseur(2,5*03)</t>
  </si>
  <si>
    <t xml:space="preserve">SYSTEME DE COLLECTE DES EAUX PLUVIALES </t>
  </si>
  <si>
    <t>Puisard d'infiltration</t>
  </si>
  <si>
    <t>Démolition</t>
  </si>
  <si>
    <t xml:space="preserve">Réservoir </t>
  </si>
  <si>
    <t>Fourniture du reservoir en plastique de 2,500litres</t>
  </si>
  <si>
    <t>EVAC -2</t>
  </si>
  <si>
    <t>Déplacement du reseau existant</t>
  </si>
  <si>
    <t xml:space="preserve">PU EN CHIFFRE (EURO) Htva </t>
  </si>
  <si>
    <t>PU EN LETTRE (EURO) Htva</t>
  </si>
  <si>
    <t>Clôture en Bambou</t>
  </si>
  <si>
    <t>Abattage d'arbre et dessouchage</t>
  </si>
  <si>
    <t>Etagère en Bois d'oeucalyptus</t>
  </si>
  <si>
    <t>Demolition du beton de forme pour troitoire</t>
  </si>
  <si>
    <t>Raccordement electrique au réseau existant avec cable(4mm²)</t>
  </si>
  <si>
    <t>ELE-1-7</t>
  </si>
  <si>
    <t>Lit de sable compacté</t>
  </si>
  <si>
    <t>Porte métallique en tôle  plane de 3 mm d'epaisseur (2,5*03)</t>
  </si>
  <si>
    <t>Coffrets divisionnaires avec barrette de terre, câblage et filerie</t>
  </si>
  <si>
    <t>fourniture du reservoir en plastique de 2,500litres</t>
  </si>
  <si>
    <t>DQE POUR LA TRANSFORMATION D'UN BLOC DE CLASSE EXISTANTE EN ATELIER T.A.A +LA CONSTRUCTION NEUVE D'UNE SALLE DE CLASSE</t>
  </si>
  <si>
    <t>Demolition des murs en moellon</t>
  </si>
  <si>
    <t>Demolition du beton de forme interieur</t>
  </si>
  <si>
    <t>Demolition du beton de forme pour trotoire</t>
  </si>
  <si>
    <t>TOTAL POUR LE BLOC ATELIER TAA (HTVA)</t>
  </si>
  <si>
    <t>PU.EN (EURO)</t>
  </si>
  <si>
    <t>Pannes en tubes métalliques 40x40x1,5 Pour le support de plaque solaire</t>
  </si>
  <si>
    <t>HUISSERIES ,FERRONNERIES ET MENUISERIES</t>
  </si>
  <si>
    <t>Beton de propreté e.p 5 cm</t>
  </si>
  <si>
    <t>Maconnerie des murs en briques cuites refractaires(5x10x20)cm</t>
  </si>
  <si>
    <t>Rejointoyage exterieur</t>
  </si>
  <si>
    <t>PREP-1-4</t>
  </si>
  <si>
    <t>PREP-1-5</t>
  </si>
  <si>
    <t>Desherbage,debroussage et décapage de la terre végétale et nettoyage du terrain</t>
  </si>
  <si>
    <t>Dalle de sol en béton non armé</t>
  </si>
  <si>
    <t>BET-1-4</t>
  </si>
  <si>
    <t>BET-2.5</t>
  </si>
  <si>
    <t>HUI-1.2</t>
  </si>
  <si>
    <t>MAC-4</t>
  </si>
  <si>
    <t>TOIT-7</t>
  </si>
  <si>
    <t>HUI-1-2</t>
  </si>
  <si>
    <t>PAV-3</t>
  </si>
  <si>
    <t xml:space="preserve">Film polyane </t>
  </si>
  <si>
    <t xml:space="preserve">Maçonnerie pour fondation </t>
  </si>
  <si>
    <t xml:space="preserve">Maconnerie en moellon pour élevation </t>
  </si>
  <si>
    <t xml:space="preserve">Lit de sable compacté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</si>
</sst>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\ &quot;€&quot;;\-#,##0\ &quot;€&quot;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_-* #,##0.0\ _€_-;\-* #,##0.0\ _€_-;_-* &quot;-&quot;??\ _€_-;_-@_-"/>
    <numFmt numFmtId="168" formatCode="_-* #,##0\ _€_-;\-* #,##0\ _€_-;_-* &quot;-&quot;??\ _€_-;_-@_-"/>
    <numFmt numFmtId="169" formatCode="#,##0\ &quot;€&quot;"/>
    <numFmt numFmtId="170" formatCode="#,##0.0\ &quot;€&quot;"/>
    <numFmt numFmtId="171" formatCode="#,##0.00\ &quot;€&quot;"/>
    <numFmt numFmtId="172" formatCode="#,##0.00\ [$€-80C]"/>
    <numFmt numFmtId="173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CC"/>
      <name val="Arial Narrow"/>
      <family val="2"/>
    </font>
    <font>
      <sz val="12"/>
      <color rgb="FF0000CC"/>
      <name val="Arial Narrow"/>
      <family val="2"/>
    </font>
    <font>
      <sz val="10"/>
      <name val="Arial"/>
      <family val="2"/>
    </font>
    <font>
      <b/>
      <u/>
      <sz val="11"/>
      <name val="Arial Narrow"/>
      <family val="2"/>
    </font>
    <font>
      <u/>
      <sz val="1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vertAlign val="superscript"/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vertAlign val="superscript"/>
      <sz val="11"/>
      <name val="Arial Narrow"/>
      <family val="2"/>
    </font>
    <font>
      <vertAlign val="superscript"/>
      <sz val="11"/>
      <color theme="1"/>
      <name val="Arial Narrow"/>
      <family val="2"/>
    </font>
    <font>
      <b/>
      <vertAlign val="superscript"/>
      <sz val="11"/>
      <color theme="1"/>
      <name val="Arial Narrow"/>
      <family val="2"/>
    </font>
    <font>
      <sz val="11"/>
      <color rgb="FFFF0000"/>
      <name val="Arial Narrow"/>
      <family val="2"/>
    </font>
    <font>
      <sz val="11"/>
      <color rgb="FF0070C0"/>
      <name val="Arial Narrow"/>
      <family val="2"/>
    </font>
    <font>
      <b/>
      <sz val="11"/>
      <color rgb="FFFF0000"/>
      <name val="Arial Narrow"/>
      <family val="2"/>
    </font>
    <font>
      <sz val="11"/>
      <color rgb="FF0000CC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4" fillId="0" borderId="0"/>
  </cellStyleXfs>
  <cellXfs count="266">
    <xf numFmtId="0" fontId="0" fillId="0" borderId="0" xfId="0"/>
    <xf numFmtId="0" fontId="3" fillId="2" borderId="0" xfId="0" applyFont="1" applyFill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7" fontId="3" fillId="2" borderId="0" xfId="1" applyNumberFormat="1" applyFont="1" applyFill="1" applyAlignment="1">
      <alignment horizontal="left" vertical="center"/>
    </xf>
    <xf numFmtId="166" fontId="3" fillId="2" borderId="0" xfId="1" applyFont="1" applyFill="1" applyAlignment="1">
      <alignment horizontal="left" vertical="top"/>
    </xf>
    <xf numFmtId="166" fontId="3" fillId="2" borderId="0" xfId="1" applyFont="1" applyFill="1" applyAlignment="1">
      <alignment horizontal="left" vertical="center"/>
    </xf>
    <xf numFmtId="0" fontId="5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166" fontId="5" fillId="2" borderId="0" xfId="1" applyFont="1" applyFill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6" fontId="7" fillId="2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/>
    </xf>
    <xf numFmtId="170" fontId="8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wrapText="1"/>
    </xf>
    <xf numFmtId="170" fontId="7" fillId="4" borderId="4" xfId="1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70" fontId="8" fillId="0" borderId="1" xfId="1" applyNumberFormat="1" applyFont="1" applyFill="1" applyBorder="1" applyAlignment="1">
      <alignment horizontal="left" vertical="center"/>
    </xf>
    <xf numFmtId="0" fontId="7" fillId="4" borderId="4" xfId="0" applyFont="1" applyFill="1" applyBorder="1" applyAlignment="1">
      <alignment wrapText="1"/>
    </xf>
    <xf numFmtId="170" fontId="8" fillId="0" borderId="1" xfId="1" applyNumberFormat="1" applyFont="1" applyFill="1" applyBorder="1" applyAlignment="1">
      <alignment horizontal="center" vertical="center"/>
    </xf>
    <xf numFmtId="170" fontId="7" fillId="4" borderId="4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167" fontId="8" fillId="2" borderId="1" xfId="1" applyNumberFormat="1" applyFont="1" applyFill="1" applyBorder="1" applyAlignment="1">
      <alignment horizontal="center" vertical="center"/>
    </xf>
    <xf numFmtId="170" fontId="8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70" fontId="7" fillId="4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6" fontId="7" fillId="0" borderId="1" xfId="1" applyFont="1" applyFill="1" applyBorder="1" applyAlignment="1">
      <alignment vertical="center" wrapText="1"/>
    </xf>
    <xf numFmtId="0" fontId="7" fillId="5" borderId="1" xfId="0" applyFont="1" applyFill="1" applyBorder="1" applyAlignment="1">
      <alignment wrapText="1"/>
    </xf>
    <xf numFmtId="170" fontId="7" fillId="5" borderId="1" xfId="1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0" fontId="8" fillId="2" borderId="1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167" fontId="7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0" borderId="1" xfId="0" applyFont="1" applyBorder="1"/>
    <xf numFmtId="0" fontId="7" fillId="2" borderId="1" xfId="0" applyFont="1" applyFill="1" applyBorder="1"/>
    <xf numFmtId="170" fontId="8" fillId="2" borderId="1" xfId="1" applyNumberFormat="1" applyFont="1" applyFill="1" applyBorder="1" applyAlignment="1">
      <alignment horizontal="center" vertical="top"/>
    </xf>
    <xf numFmtId="166" fontId="8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0" fontId="8" fillId="0" borderId="1" xfId="1" applyNumberFormat="1" applyFont="1" applyBorder="1" applyAlignment="1">
      <alignment horizontal="center"/>
    </xf>
    <xf numFmtId="166" fontId="7" fillId="5" borderId="1" xfId="1" applyFont="1" applyFill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7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 applyBorder="1" applyAlignment="1">
      <alignment horizontal="left" vertical="top"/>
    </xf>
    <xf numFmtId="170" fontId="8" fillId="2" borderId="1" xfId="0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left" vertical="center" wrapText="1"/>
    </xf>
    <xf numFmtId="170" fontId="7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170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170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center" vertical="center"/>
    </xf>
    <xf numFmtId="170" fontId="8" fillId="0" borderId="1" xfId="0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wrapText="1"/>
    </xf>
    <xf numFmtId="172" fontId="7" fillId="5" borderId="4" xfId="0" applyNumberFormat="1" applyFont="1" applyFill="1" applyBorder="1" applyAlignment="1">
      <alignment wrapText="1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166" fontId="8" fillId="2" borderId="0" xfId="1" applyFont="1" applyFill="1" applyBorder="1" applyAlignment="1">
      <alignment horizontal="left" vertical="top"/>
    </xf>
    <xf numFmtId="167" fontId="7" fillId="2" borderId="0" xfId="1" applyNumberFormat="1" applyFont="1" applyFill="1" applyAlignment="1">
      <alignment horizontal="left" vertical="center"/>
    </xf>
    <xf numFmtId="172" fontId="7" fillId="2" borderId="1" xfId="1" applyNumberFormat="1" applyFont="1" applyFill="1" applyBorder="1" applyAlignment="1">
      <alignment horizontal="left" vertical="center" wrapText="1"/>
    </xf>
    <xf numFmtId="172" fontId="8" fillId="2" borderId="1" xfId="1" applyNumberFormat="1" applyFont="1" applyFill="1" applyBorder="1" applyAlignment="1">
      <alignment horizontal="left" vertical="center"/>
    </xf>
    <xf numFmtId="172" fontId="8" fillId="2" borderId="0" xfId="1" applyNumberFormat="1" applyFont="1" applyFill="1" applyAlignment="1">
      <alignment horizontal="left" vertical="center"/>
    </xf>
    <xf numFmtId="172" fontId="8" fillId="2" borderId="1" xfId="1" applyNumberFormat="1" applyFont="1" applyFill="1" applyBorder="1" applyAlignment="1">
      <alignment horizontal="center" vertical="center"/>
    </xf>
    <xf numFmtId="172" fontId="7" fillId="3" borderId="1" xfId="1" applyNumberFormat="1" applyFont="1" applyFill="1" applyBorder="1" applyAlignment="1">
      <alignment horizontal="center" vertical="center"/>
    </xf>
    <xf numFmtId="172" fontId="7" fillId="2" borderId="1" xfId="1" applyNumberFormat="1" applyFont="1" applyFill="1" applyBorder="1" applyAlignment="1">
      <alignment horizontal="center" vertical="center" wrapText="1"/>
    </xf>
    <xf numFmtId="172" fontId="8" fillId="2" borderId="1" xfId="1" applyNumberFormat="1" applyFont="1" applyFill="1" applyBorder="1" applyAlignment="1">
      <alignment horizontal="center" vertical="top"/>
    </xf>
    <xf numFmtId="172" fontId="7" fillId="5" borderId="1" xfId="1" applyNumberFormat="1" applyFont="1" applyFill="1" applyBorder="1" applyAlignment="1">
      <alignment horizontal="center" vertical="top"/>
    </xf>
    <xf numFmtId="172" fontId="7" fillId="5" borderId="1" xfId="1" applyNumberFormat="1" applyFont="1" applyFill="1" applyBorder="1" applyAlignment="1">
      <alignment horizontal="center" vertical="center"/>
    </xf>
    <xf numFmtId="172" fontId="8" fillId="2" borderId="0" xfId="1" applyNumberFormat="1" applyFont="1" applyFill="1" applyAlignment="1">
      <alignment horizontal="center" vertical="center"/>
    </xf>
    <xf numFmtId="0" fontId="11" fillId="0" borderId="0" xfId="0" applyFont="1"/>
    <xf numFmtId="0" fontId="11" fillId="2" borderId="0" xfId="0" applyFont="1" applyFill="1" applyAlignment="1">
      <alignment horizontal="left" vertical="center"/>
    </xf>
    <xf numFmtId="168" fontId="11" fillId="2" borderId="0" xfId="1" applyNumberFormat="1" applyFont="1" applyFill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8" fontId="10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71" fontId="10" fillId="6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0" fontId="7" fillId="0" borderId="1" xfId="1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wrapText="1"/>
    </xf>
    <xf numFmtId="170" fontId="7" fillId="2" borderId="4" xfId="1" applyNumberFormat="1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left" wrapText="1"/>
    </xf>
    <xf numFmtId="167" fontId="8" fillId="2" borderId="3" xfId="1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wrapText="1"/>
    </xf>
    <xf numFmtId="170" fontId="7" fillId="2" borderId="1" xfId="1" applyNumberFormat="1" applyFont="1" applyFill="1" applyBorder="1" applyAlignment="1">
      <alignment horizontal="center" wrapText="1"/>
    </xf>
    <xf numFmtId="170" fontId="5" fillId="2" borderId="0" xfId="0" applyNumberFormat="1" applyFont="1" applyFill="1" applyAlignment="1">
      <alignment horizontal="center" vertical="top" wrapText="1"/>
    </xf>
    <xf numFmtId="170" fontId="7" fillId="2" borderId="1" xfId="1" applyNumberFormat="1" applyFont="1" applyFill="1" applyBorder="1" applyAlignment="1">
      <alignment horizontal="left" vertical="center" wrapText="1"/>
    </xf>
    <xf numFmtId="170" fontId="3" fillId="2" borderId="0" xfId="0" applyNumberFormat="1" applyFont="1" applyFill="1" applyAlignment="1">
      <alignment horizontal="left" vertical="top"/>
    </xf>
    <xf numFmtId="170" fontId="3" fillId="2" borderId="0" xfId="0" applyNumberFormat="1" applyFont="1" applyFill="1" applyAlignment="1">
      <alignment horizontal="left" vertical="center"/>
    </xf>
    <xf numFmtId="170" fontId="7" fillId="0" borderId="1" xfId="0" applyNumberFormat="1" applyFont="1" applyFill="1" applyBorder="1" applyAlignment="1">
      <alignment vertical="center" wrapText="1"/>
    </xf>
    <xf numFmtId="170" fontId="7" fillId="3" borderId="1" xfId="0" applyNumberFormat="1" applyFont="1" applyFill="1" applyBorder="1" applyAlignment="1">
      <alignment horizontal="center" vertical="center"/>
    </xf>
    <xf numFmtId="170" fontId="7" fillId="4" borderId="1" xfId="1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6" fontId="10" fillId="2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6" fontId="10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170" fontId="11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167" fontId="11" fillId="2" borderId="1" xfId="1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wrapText="1"/>
    </xf>
    <xf numFmtId="170" fontId="10" fillId="5" borderId="1" xfId="1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wrapText="1"/>
    </xf>
    <xf numFmtId="170" fontId="10" fillId="2" borderId="1" xfId="1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170" fontId="11" fillId="0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1" fillId="2" borderId="1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170" fontId="11" fillId="0" borderId="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167" fontId="10" fillId="2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/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/>
    <xf numFmtId="0" fontId="10" fillId="2" borderId="1" xfId="0" applyFont="1" applyFill="1" applyBorder="1"/>
    <xf numFmtId="170" fontId="11" fillId="2" borderId="1" xfId="1" applyNumberFormat="1" applyFont="1" applyFill="1" applyBorder="1" applyAlignment="1">
      <alignment horizontal="center" vertical="top"/>
    </xf>
    <xf numFmtId="166" fontId="11" fillId="2" borderId="1" xfId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170" fontId="11" fillId="0" borderId="1" xfId="1" applyNumberFormat="1" applyFont="1" applyBorder="1" applyAlignment="1">
      <alignment horizontal="center"/>
    </xf>
    <xf numFmtId="170" fontId="11" fillId="0" borderId="1" xfId="0" applyNumberFormat="1" applyFont="1" applyFill="1" applyBorder="1" applyAlignment="1">
      <alignment horizontal="center" vertical="center" wrapText="1"/>
    </xf>
    <xf numFmtId="170" fontId="10" fillId="0" borderId="1" xfId="1" applyNumberFormat="1" applyFont="1" applyFill="1" applyBorder="1" applyAlignment="1">
      <alignment horizontal="left" vertical="center" wrapText="1"/>
    </xf>
    <xf numFmtId="170" fontId="11" fillId="0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170" fontId="11" fillId="2" borderId="1" xfId="0" applyNumberFormat="1" applyFont="1" applyFill="1" applyBorder="1" applyAlignment="1">
      <alignment horizontal="center" vertical="center" wrapText="1"/>
    </xf>
    <xf numFmtId="170" fontId="10" fillId="2" borderId="1" xfId="1" applyNumberFormat="1" applyFont="1" applyFill="1" applyBorder="1" applyAlignment="1">
      <alignment horizontal="left" vertical="center" wrapText="1"/>
    </xf>
    <xf numFmtId="170" fontId="10" fillId="4" borderId="1" xfId="1" applyNumberFormat="1" applyFont="1" applyFill="1" applyBorder="1" applyAlignment="1">
      <alignment horizontal="center" wrapText="1"/>
    </xf>
    <xf numFmtId="166" fontId="8" fillId="2" borderId="1" xfId="1" applyFont="1" applyFill="1" applyBorder="1" applyAlignment="1">
      <alignment horizontal="left" vertical="center"/>
    </xf>
    <xf numFmtId="169" fontId="8" fillId="2" borderId="1" xfId="0" applyNumberFormat="1" applyFont="1" applyFill="1" applyBorder="1" applyAlignment="1">
      <alignment horizontal="center" vertical="center"/>
    </xf>
    <xf numFmtId="170" fontId="10" fillId="5" borderId="1" xfId="0" applyNumberFormat="1" applyFont="1" applyFill="1" applyBorder="1" applyAlignment="1">
      <alignment horizontal="center" vertical="center" wrapText="1"/>
    </xf>
    <xf numFmtId="170" fontId="10" fillId="0" borderId="1" xfId="0" applyNumberFormat="1" applyFont="1" applyFill="1" applyBorder="1" applyAlignment="1">
      <alignment vertical="center" wrapText="1"/>
    </xf>
    <xf numFmtId="0" fontId="10" fillId="4" borderId="1" xfId="0" applyFont="1" applyFill="1" applyBorder="1" applyAlignment="1">
      <alignment wrapText="1"/>
    </xf>
    <xf numFmtId="170" fontId="10" fillId="4" borderId="1" xfId="0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center" vertical="center" wrapText="1"/>
    </xf>
    <xf numFmtId="170" fontId="10" fillId="3" borderId="1" xfId="0" applyNumberFormat="1" applyFont="1" applyFill="1" applyBorder="1" applyAlignment="1">
      <alignment horizontal="center" vertical="center"/>
    </xf>
    <xf numFmtId="170" fontId="11" fillId="2" borderId="1" xfId="1" applyNumberFormat="1" applyFont="1" applyFill="1" applyBorder="1" applyAlignment="1">
      <alignment horizontal="center" wrapText="1"/>
    </xf>
    <xf numFmtId="170" fontId="8" fillId="2" borderId="1" xfId="0" applyNumberFormat="1" applyFont="1" applyFill="1" applyBorder="1" applyAlignment="1">
      <alignment horizontal="center"/>
    </xf>
    <xf numFmtId="170" fontId="7" fillId="2" borderId="4" xfId="0" applyNumberFormat="1" applyFont="1" applyFill="1" applyBorder="1" applyAlignment="1">
      <alignment horizontal="center" wrapText="1"/>
    </xf>
    <xf numFmtId="170" fontId="7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 applyAlignment="1">
      <alignment horizontal="center" vertical="top"/>
    </xf>
    <xf numFmtId="0" fontId="11" fillId="2" borderId="0" xfId="0" applyFont="1" applyFill="1" applyBorder="1" applyAlignment="1">
      <alignment horizontal="left" vertical="top"/>
    </xf>
    <xf numFmtId="166" fontId="11" fillId="0" borderId="0" xfId="1" applyFont="1" applyAlignment="1">
      <alignment horizontal="left" vertical="center"/>
    </xf>
    <xf numFmtId="0" fontId="11" fillId="0" borderId="1" xfId="0" applyFont="1" applyFill="1" applyBorder="1" applyAlignment="1">
      <alignment vertical="center" wrapText="1"/>
    </xf>
    <xf numFmtId="170" fontId="15" fillId="2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/>
    <xf numFmtId="0" fontId="8" fillId="0" borderId="1" xfId="0" applyFont="1" applyBorder="1" applyAlignment="1">
      <alignment horizontal="center" vertical="top"/>
    </xf>
    <xf numFmtId="166" fontId="8" fillId="0" borderId="1" xfId="1" applyFont="1" applyBorder="1" applyAlignment="1">
      <alignment horizontal="left" vertical="top"/>
    </xf>
    <xf numFmtId="165" fontId="8" fillId="0" borderId="1" xfId="1" applyNumberFormat="1" applyFont="1" applyBorder="1" applyAlignment="1">
      <alignment horizontal="left" vertical="top"/>
    </xf>
    <xf numFmtId="0" fontId="16" fillId="0" borderId="0" xfId="0" applyFont="1"/>
    <xf numFmtId="170" fontId="11" fillId="0" borderId="0" xfId="0" applyNumberFormat="1" applyFont="1"/>
    <xf numFmtId="166" fontId="11" fillId="0" borderId="1" xfId="1" applyFont="1" applyBorder="1" applyAlignment="1">
      <alignment horizontal="left" vertical="top"/>
    </xf>
    <xf numFmtId="165" fontId="11" fillId="0" borderId="1" xfId="1" applyNumberFormat="1" applyFont="1" applyBorder="1" applyAlignment="1">
      <alignment horizontal="left" vertical="top"/>
    </xf>
    <xf numFmtId="0" fontId="18" fillId="0" borderId="0" xfId="0" applyFont="1" applyBorder="1"/>
    <xf numFmtId="0" fontId="18" fillId="0" borderId="0" xfId="0" applyFont="1"/>
    <xf numFmtId="0" fontId="15" fillId="0" borderId="0" xfId="0" applyFont="1"/>
    <xf numFmtId="170" fontId="18" fillId="0" borderId="0" xfId="0" applyNumberFormat="1" applyFont="1" applyAlignment="1">
      <alignment horizontal="center"/>
    </xf>
    <xf numFmtId="170" fontId="18" fillId="0" borderId="0" xfId="0" applyNumberFormat="1" applyFont="1"/>
    <xf numFmtId="170" fontId="8" fillId="2" borderId="1" xfId="0" applyNumberFormat="1" applyFont="1" applyFill="1" applyBorder="1" applyAlignment="1">
      <alignment horizontal="center" vertical="center"/>
    </xf>
    <xf numFmtId="172" fontId="8" fillId="0" borderId="1" xfId="0" applyNumberFormat="1" applyFont="1" applyFill="1" applyBorder="1" applyAlignment="1">
      <alignment horizontal="center" vertical="center" wrapText="1"/>
    </xf>
    <xf numFmtId="172" fontId="7" fillId="4" borderId="1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172" fontId="7" fillId="4" borderId="1" xfId="0" applyNumberFormat="1" applyFont="1" applyFill="1" applyBorder="1" applyAlignment="1">
      <alignment horizontal="center" vertical="center"/>
    </xf>
    <xf numFmtId="172" fontId="7" fillId="3" borderId="1" xfId="0" applyNumberFormat="1" applyFont="1" applyFill="1" applyBorder="1" applyAlignment="1">
      <alignment horizontal="center" vertical="center"/>
    </xf>
    <xf numFmtId="172" fontId="8" fillId="2" borderId="0" xfId="0" applyNumberFormat="1" applyFont="1" applyFill="1" applyAlignment="1">
      <alignment horizontal="left" vertical="top"/>
    </xf>
    <xf numFmtId="167" fontId="8" fillId="2" borderId="0" xfId="1" applyNumberFormat="1" applyFont="1" applyFill="1" applyAlignment="1">
      <alignment horizontal="left" vertical="center"/>
    </xf>
    <xf numFmtId="168" fontId="8" fillId="2" borderId="0" xfId="1" applyNumberFormat="1" applyFont="1" applyFill="1" applyAlignment="1">
      <alignment horizontal="left" vertical="center"/>
    </xf>
    <xf numFmtId="172" fontId="8" fillId="2" borderId="0" xfId="0" applyNumberFormat="1" applyFont="1" applyFill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0" xfId="0" applyFont="1"/>
    <xf numFmtId="0" fontId="8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70" fontId="8" fillId="2" borderId="1" xfId="1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Border="1" applyAlignment="1"/>
    <xf numFmtId="165" fontId="8" fillId="2" borderId="1" xfId="1" applyNumberFormat="1" applyFont="1" applyFill="1" applyBorder="1" applyAlignment="1">
      <alignment horizontal="left" vertical="top"/>
    </xf>
    <xf numFmtId="170" fontId="8" fillId="0" borderId="1" xfId="1" applyNumberFormat="1" applyFont="1" applyFill="1" applyBorder="1" applyAlignment="1">
      <alignment vertical="center" wrapText="1"/>
    </xf>
    <xf numFmtId="0" fontId="8" fillId="0" borderId="0" xfId="0" applyFont="1" applyAlignment="1"/>
    <xf numFmtId="166" fontId="8" fillId="0" borderId="0" xfId="1" applyFont="1" applyAlignment="1">
      <alignment horizontal="left" vertical="center"/>
    </xf>
    <xf numFmtId="173" fontId="8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top" wrapText="1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170" fontId="7" fillId="3" borderId="1" xfId="0" applyNumberFormat="1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0"/>
  <sheetViews>
    <sheetView tabSelected="1" workbookViewId="0">
      <selection activeCell="G11" sqref="G11"/>
    </sheetView>
  </sheetViews>
  <sheetFormatPr baseColWidth="10" defaultColWidth="9.109375" defaultRowHeight="13.8" x14ac:dyDescent="0.25"/>
  <cols>
    <col min="1" max="1" width="10.33203125" style="231" customWidth="1"/>
    <col min="2" max="2" width="46.88671875" style="66" customWidth="1"/>
    <col min="3" max="3" width="9.109375" style="66"/>
    <col min="4" max="4" width="15.88671875" style="232" customWidth="1"/>
    <col min="5" max="5" width="19.5546875" style="66" customWidth="1"/>
    <col min="6" max="16384" width="9.109375" style="66"/>
  </cols>
  <sheetData>
    <row r="1" spans="1:5" x14ac:dyDescent="0.25">
      <c r="A1" s="234" t="s">
        <v>363</v>
      </c>
      <c r="B1" s="234"/>
      <c r="C1" s="234"/>
      <c r="D1" s="234"/>
      <c r="E1" s="234"/>
    </row>
    <row r="2" spans="1:5" ht="27.6" x14ac:dyDescent="0.25">
      <c r="A2" s="221" t="s">
        <v>5</v>
      </c>
      <c r="B2" s="41" t="s">
        <v>157</v>
      </c>
      <c r="C2" s="42" t="s">
        <v>158</v>
      </c>
      <c r="D2" s="13" t="s">
        <v>373</v>
      </c>
      <c r="E2" s="13" t="s">
        <v>374</v>
      </c>
    </row>
    <row r="3" spans="1:5" x14ac:dyDescent="0.25">
      <c r="A3" s="43" t="s">
        <v>161</v>
      </c>
      <c r="B3" s="43" t="s">
        <v>11</v>
      </c>
      <c r="C3" s="43"/>
      <c r="D3" s="44"/>
      <c r="E3" s="43"/>
    </row>
    <row r="4" spans="1:5" x14ac:dyDescent="0.25">
      <c r="A4" s="220" t="s">
        <v>57</v>
      </c>
      <c r="B4" s="15" t="s">
        <v>162</v>
      </c>
      <c r="C4" s="16" t="s">
        <v>9</v>
      </c>
      <c r="D4" s="32"/>
      <c r="E4" s="222"/>
    </row>
    <row r="5" spans="1:5" x14ac:dyDescent="0.25">
      <c r="A5" s="220" t="s">
        <v>163</v>
      </c>
      <c r="B5" s="15" t="s">
        <v>164</v>
      </c>
      <c r="C5" s="16" t="s">
        <v>9</v>
      </c>
      <c r="D5" s="32"/>
      <c r="E5" s="222"/>
    </row>
    <row r="6" spans="1:5" s="67" customFormat="1" x14ac:dyDescent="0.25">
      <c r="A6" s="220" t="s">
        <v>58</v>
      </c>
      <c r="B6" s="18" t="s">
        <v>104</v>
      </c>
      <c r="C6" s="16" t="s">
        <v>158</v>
      </c>
      <c r="D6" s="32"/>
      <c r="E6" s="222"/>
    </row>
    <row r="7" spans="1:5" x14ac:dyDescent="0.25">
      <c r="A7" s="119" t="s">
        <v>314</v>
      </c>
      <c r="B7" s="53" t="s">
        <v>302</v>
      </c>
      <c r="C7" s="119"/>
      <c r="D7" s="120"/>
      <c r="E7" s="223"/>
    </row>
    <row r="8" spans="1:5" x14ac:dyDescent="0.25">
      <c r="A8" s="119" t="s">
        <v>204</v>
      </c>
      <c r="B8" s="53" t="s">
        <v>368</v>
      </c>
      <c r="C8" s="119"/>
      <c r="D8" s="120"/>
      <c r="E8" s="223"/>
    </row>
    <row r="9" spans="1:5" x14ac:dyDescent="0.25">
      <c r="A9" s="56" t="s">
        <v>315</v>
      </c>
      <c r="B9" s="18" t="s">
        <v>304</v>
      </c>
      <c r="C9" s="48" t="s">
        <v>1</v>
      </c>
      <c r="D9" s="224"/>
      <c r="E9" s="223"/>
    </row>
    <row r="10" spans="1:5" x14ac:dyDescent="0.25">
      <c r="A10" s="56" t="s">
        <v>316</v>
      </c>
      <c r="B10" s="18" t="s">
        <v>378</v>
      </c>
      <c r="C10" s="48" t="s">
        <v>1</v>
      </c>
      <c r="D10" s="224"/>
      <c r="E10" s="223"/>
    </row>
    <row r="11" spans="1:5" x14ac:dyDescent="0.25">
      <c r="A11" s="56" t="s">
        <v>317</v>
      </c>
      <c r="B11" s="18" t="s">
        <v>318</v>
      </c>
      <c r="C11" s="48" t="s">
        <v>1</v>
      </c>
      <c r="D11" s="224"/>
      <c r="E11" s="223"/>
    </row>
    <row r="12" spans="1:5" x14ac:dyDescent="0.25">
      <c r="A12" s="18" t="s">
        <v>396</v>
      </c>
      <c r="B12" s="18" t="s">
        <v>235</v>
      </c>
      <c r="C12" s="225" t="s">
        <v>9</v>
      </c>
      <c r="D12" s="224"/>
      <c r="E12" s="224"/>
    </row>
    <row r="13" spans="1:5" x14ac:dyDescent="0.25">
      <c r="A13" s="18" t="s">
        <v>397</v>
      </c>
      <c r="B13" s="18" t="s">
        <v>386</v>
      </c>
      <c r="C13" s="48" t="s">
        <v>1</v>
      </c>
      <c r="D13" s="224"/>
      <c r="E13" s="224"/>
    </row>
    <row r="14" spans="1:5" x14ac:dyDescent="0.25">
      <c r="A14" s="56" t="s">
        <v>83</v>
      </c>
      <c r="B14" s="18" t="s">
        <v>372</v>
      </c>
      <c r="C14" s="225" t="s">
        <v>9</v>
      </c>
      <c r="D14" s="224"/>
      <c r="E14" s="223"/>
    </row>
    <row r="15" spans="1:5" ht="27.6" x14ac:dyDescent="0.25">
      <c r="A15" s="36" t="s">
        <v>205</v>
      </c>
      <c r="B15" s="18" t="s">
        <v>398</v>
      </c>
      <c r="C15" s="48" t="s">
        <v>1</v>
      </c>
      <c r="D15" s="224"/>
      <c r="E15" s="222"/>
    </row>
    <row r="16" spans="1:5" x14ac:dyDescent="0.25">
      <c r="A16" s="56" t="s">
        <v>309</v>
      </c>
      <c r="B16" s="18" t="s">
        <v>376</v>
      </c>
      <c r="C16" s="16" t="s">
        <v>8</v>
      </c>
      <c r="D16" s="32"/>
      <c r="E16" s="222"/>
    </row>
    <row r="17" spans="1:5" x14ac:dyDescent="0.25">
      <c r="A17" s="43" t="s">
        <v>109</v>
      </c>
      <c r="B17" s="186" t="s">
        <v>110</v>
      </c>
      <c r="C17" s="47"/>
      <c r="D17" s="37"/>
      <c r="E17" s="222"/>
    </row>
    <row r="18" spans="1:5" ht="16.2" x14ac:dyDescent="0.25">
      <c r="A18" s="220" t="s">
        <v>61</v>
      </c>
      <c r="B18" s="18" t="s">
        <v>182</v>
      </c>
      <c r="C18" s="16" t="s">
        <v>275</v>
      </c>
      <c r="D18" s="32"/>
      <c r="E18" s="222"/>
    </row>
    <row r="19" spans="1:5" x14ac:dyDescent="0.25">
      <c r="A19" s="220" t="s">
        <v>72</v>
      </c>
      <c r="B19" s="18" t="s">
        <v>299</v>
      </c>
      <c r="C19" s="48" t="s">
        <v>1</v>
      </c>
      <c r="D19" s="32"/>
      <c r="E19" s="222"/>
    </row>
    <row r="20" spans="1:5" x14ac:dyDescent="0.25">
      <c r="A20" s="43" t="s">
        <v>320</v>
      </c>
      <c r="B20" s="186" t="s">
        <v>298</v>
      </c>
      <c r="C20" s="16"/>
      <c r="D20" s="32"/>
      <c r="E20" s="222"/>
    </row>
    <row r="21" spans="1:5" ht="16.2" x14ac:dyDescent="0.25">
      <c r="A21" s="220" t="s">
        <v>321</v>
      </c>
      <c r="B21" s="15" t="s">
        <v>166</v>
      </c>
      <c r="C21" s="48" t="s">
        <v>275</v>
      </c>
      <c r="D21" s="50"/>
      <c r="E21" s="222"/>
    </row>
    <row r="22" spans="1:5" x14ac:dyDescent="0.25">
      <c r="A22" s="220" t="s">
        <v>322</v>
      </c>
      <c r="B22" s="15" t="s">
        <v>310</v>
      </c>
      <c r="C22" s="48" t="s">
        <v>165</v>
      </c>
      <c r="D22" s="50"/>
      <c r="E22" s="222"/>
    </row>
    <row r="23" spans="1:5" x14ac:dyDescent="0.25">
      <c r="A23" s="43" t="s">
        <v>12</v>
      </c>
      <c r="B23" s="186" t="s">
        <v>112</v>
      </c>
      <c r="C23" s="47"/>
      <c r="D23" s="37"/>
      <c r="E23" s="222"/>
    </row>
    <row r="24" spans="1:5" x14ac:dyDescent="0.25">
      <c r="A24" s="43" t="s">
        <v>67</v>
      </c>
      <c r="B24" s="186" t="s">
        <v>337</v>
      </c>
      <c r="C24" s="47"/>
      <c r="D24" s="37"/>
      <c r="E24" s="222"/>
    </row>
    <row r="25" spans="1:5" ht="16.2" x14ac:dyDescent="0.25">
      <c r="A25" s="36" t="s">
        <v>323</v>
      </c>
      <c r="B25" s="15" t="s">
        <v>113</v>
      </c>
      <c r="C25" s="48" t="s">
        <v>275</v>
      </c>
      <c r="D25" s="37"/>
      <c r="E25" s="222"/>
    </row>
    <row r="26" spans="1:5" ht="16.2" x14ac:dyDescent="0.25">
      <c r="A26" s="220" t="s">
        <v>347</v>
      </c>
      <c r="B26" s="15" t="s">
        <v>364</v>
      </c>
      <c r="C26" s="48" t="s">
        <v>275</v>
      </c>
      <c r="D26" s="37"/>
      <c r="E26" s="222"/>
    </row>
    <row r="27" spans="1:5" ht="16.2" x14ac:dyDescent="0.25">
      <c r="A27" s="220" t="s">
        <v>348</v>
      </c>
      <c r="B27" s="15" t="s">
        <v>199</v>
      </c>
      <c r="C27" s="48" t="s">
        <v>275</v>
      </c>
      <c r="D27" s="37"/>
      <c r="E27" s="222"/>
    </row>
    <row r="28" spans="1:5" x14ac:dyDescent="0.25">
      <c r="A28" s="81" t="s">
        <v>400</v>
      </c>
      <c r="B28" s="78" t="s">
        <v>399</v>
      </c>
      <c r="C28" s="79" t="s">
        <v>81</v>
      </c>
      <c r="D28" s="37"/>
      <c r="E28" s="77"/>
    </row>
    <row r="29" spans="1:5" ht="16.2" x14ac:dyDescent="0.25">
      <c r="A29" s="43" t="s">
        <v>68</v>
      </c>
      <c r="B29" s="186" t="s">
        <v>281</v>
      </c>
      <c r="C29" s="47"/>
      <c r="D29" s="37"/>
      <c r="E29" s="222"/>
    </row>
    <row r="30" spans="1:5" ht="16.2" x14ac:dyDescent="0.25">
      <c r="A30" s="220" t="s">
        <v>326</v>
      </c>
      <c r="B30" s="15" t="s">
        <v>167</v>
      </c>
      <c r="C30" s="48" t="s">
        <v>275</v>
      </c>
      <c r="D30" s="37"/>
      <c r="E30" s="222"/>
    </row>
    <row r="31" spans="1:5" ht="16.2" x14ac:dyDescent="0.25">
      <c r="A31" s="220" t="s">
        <v>342</v>
      </c>
      <c r="B31" s="15" t="s">
        <v>328</v>
      </c>
      <c r="C31" s="48" t="s">
        <v>275</v>
      </c>
      <c r="D31" s="37"/>
      <c r="E31" s="222"/>
    </row>
    <row r="32" spans="1:5" x14ac:dyDescent="0.25">
      <c r="A32" s="81" t="s">
        <v>343</v>
      </c>
      <c r="B32" s="78" t="s">
        <v>187</v>
      </c>
      <c r="C32" s="79" t="s">
        <v>81</v>
      </c>
      <c r="D32" s="37"/>
      <c r="E32" s="72"/>
    </row>
    <row r="33" spans="1:5" x14ac:dyDescent="0.25">
      <c r="A33" s="81" t="s">
        <v>344</v>
      </c>
      <c r="B33" s="78" t="s">
        <v>118</v>
      </c>
      <c r="C33" s="79" t="s">
        <v>81</v>
      </c>
      <c r="D33" s="37"/>
      <c r="E33" s="72"/>
    </row>
    <row r="34" spans="1:5" x14ac:dyDescent="0.25">
      <c r="A34" s="81" t="s">
        <v>401</v>
      </c>
      <c r="B34" s="78" t="s">
        <v>119</v>
      </c>
      <c r="C34" s="79" t="s">
        <v>81</v>
      </c>
      <c r="D34" s="37"/>
      <c r="E34" s="72"/>
    </row>
    <row r="35" spans="1:5" x14ac:dyDescent="0.25">
      <c r="A35" s="43" t="s">
        <v>120</v>
      </c>
      <c r="B35" s="186" t="s">
        <v>14</v>
      </c>
      <c r="C35" s="47"/>
      <c r="D35" s="37"/>
      <c r="E35" s="222"/>
    </row>
    <row r="36" spans="1:5" ht="16.2" x14ac:dyDescent="0.25">
      <c r="A36" s="220" t="s">
        <v>69</v>
      </c>
      <c r="B36" s="33" t="s">
        <v>297</v>
      </c>
      <c r="C36" s="49" t="s">
        <v>275</v>
      </c>
      <c r="D36" s="50"/>
      <c r="E36" s="222"/>
    </row>
    <row r="37" spans="1:5" ht="16.2" x14ac:dyDescent="0.25">
      <c r="A37" s="220" t="s">
        <v>70</v>
      </c>
      <c r="B37" s="33" t="s">
        <v>156</v>
      </c>
      <c r="C37" s="49" t="s">
        <v>275</v>
      </c>
      <c r="D37" s="50"/>
      <c r="E37" s="222"/>
    </row>
    <row r="38" spans="1:5" x14ac:dyDescent="0.25">
      <c r="A38" s="81" t="s">
        <v>406</v>
      </c>
      <c r="B38" s="78" t="s">
        <v>16</v>
      </c>
      <c r="C38" s="79" t="s">
        <v>1</v>
      </c>
      <c r="D38" s="50"/>
      <c r="E38" s="72"/>
    </row>
    <row r="39" spans="1:5" x14ac:dyDescent="0.25">
      <c r="A39" s="43" t="s">
        <v>122</v>
      </c>
      <c r="B39" s="186" t="s">
        <v>18</v>
      </c>
      <c r="C39" s="47"/>
      <c r="D39" s="37"/>
      <c r="E39" s="222"/>
    </row>
    <row r="40" spans="1:5" ht="27.6" x14ac:dyDescent="0.25">
      <c r="A40" s="220" t="s">
        <v>123</v>
      </c>
      <c r="B40" s="15" t="s">
        <v>168</v>
      </c>
      <c r="C40" s="48" t="s">
        <v>2</v>
      </c>
      <c r="D40" s="37"/>
      <c r="E40" s="222"/>
    </row>
    <row r="41" spans="1:5" x14ac:dyDescent="0.25">
      <c r="A41" s="220" t="s">
        <v>125</v>
      </c>
      <c r="B41" s="15" t="s">
        <v>126</v>
      </c>
      <c r="C41" s="48" t="s">
        <v>1</v>
      </c>
      <c r="D41" s="50"/>
      <c r="E41" s="222"/>
    </row>
    <row r="42" spans="1:5" x14ac:dyDescent="0.25">
      <c r="A42" s="220" t="s">
        <v>201</v>
      </c>
      <c r="B42" s="15" t="s">
        <v>183</v>
      </c>
      <c r="C42" s="48" t="s">
        <v>165</v>
      </c>
      <c r="D42" s="50"/>
      <c r="E42" s="222"/>
    </row>
    <row r="43" spans="1:5" s="67" customFormat="1" ht="27.6" x14ac:dyDescent="0.3">
      <c r="A43" s="220" t="s">
        <v>403</v>
      </c>
      <c r="B43" s="36" t="s">
        <v>394</v>
      </c>
      <c r="C43" s="61" t="s">
        <v>1</v>
      </c>
      <c r="D43" s="50"/>
      <c r="E43" s="91"/>
    </row>
    <row r="44" spans="1:5" x14ac:dyDescent="0.25">
      <c r="A44" s="43" t="s">
        <v>19</v>
      </c>
      <c r="B44" s="186" t="s">
        <v>128</v>
      </c>
      <c r="C44" s="47"/>
      <c r="D44" s="50"/>
      <c r="E44" s="222"/>
    </row>
    <row r="45" spans="1:5" x14ac:dyDescent="0.25">
      <c r="A45" s="43" t="s">
        <v>129</v>
      </c>
      <c r="B45" s="186" t="s">
        <v>170</v>
      </c>
      <c r="C45" s="47"/>
      <c r="D45" s="50"/>
      <c r="E45" s="222"/>
    </row>
    <row r="46" spans="1:5" x14ac:dyDescent="0.25">
      <c r="A46" s="220" t="s">
        <v>131</v>
      </c>
      <c r="B46" s="15" t="s">
        <v>305</v>
      </c>
      <c r="C46" s="48" t="s">
        <v>1</v>
      </c>
      <c r="D46" s="50"/>
      <c r="E46" s="222"/>
    </row>
    <row r="47" spans="1:5" x14ac:dyDescent="0.25">
      <c r="A47" s="220" t="s">
        <v>133</v>
      </c>
      <c r="B47" s="15" t="s">
        <v>184</v>
      </c>
      <c r="C47" s="48" t="s">
        <v>1</v>
      </c>
      <c r="D47" s="50"/>
      <c r="E47" s="222"/>
    </row>
    <row r="48" spans="1:5" x14ac:dyDescent="0.25">
      <c r="A48" s="220" t="s">
        <v>134</v>
      </c>
      <c r="B48" s="15" t="s">
        <v>306</v>
      </c>
      <c r="C48" s="48" t="s">
        <v>2</v>
      </c>
      <c r="D48" s="50"/>
      <c r="E48" s="222"/>
    </row>
    <row r="49" spans="1:5" x14ac:dyDescent="0.25">
      <c r="A49" s="220" t="s">
        <v>135</v>
      </c>
      <c r="B49" s="15" t="s">
        <v>330</v>
      </c>
      <c r="C49" s="48" t="s">
        <v>1</v>
      </c>
      <c r="D49" s="50"/>
      <c r="E49" s="222"/>
    </row>
    <row r="50" spans="1:5" x14ac:dyDescent="0.25">
      <c r="A50" s="220" t="s">
        <v>136</v>
      </c>
      <c r="B50" s="186" t="s">
        <v>27</v>
      </c>
      <c r="C50" s="226"/>
      <c r="D50" s="50"/>
      <c r="E50" s="222"/>
    </row>
    <row r="51" spans="1:5" x14ac:dyDescent="0.25">
      <c r="A51" s="220" t="s">
        <v>138</v>
      </c>
      <c r="B51" s="15" t="s">
        <v>139</v>
      </c>
      <c r="C51" s="49" t="s">
        <v>1</v>
      </c>
      <c r="D51" s="50"/>
      <c r="E51" s="222"/>
    </row>
    <row r="52" spans="1:5" x14ac:dyDescent="0.25">
      <c r="A52" s="220" t="s">
        <v>140</v>
      </c>
      <c r="B52" s="15" t="s">
        <v>307</v>
      </c>
      <c r="C52" s="49" t="s">
        <v>1</v>
      </c>
      <c r="D52" s="50"/>
      <c r="E52" s="222"/>
    </row>
    <row r="53" spans="1:5" x14ac:dyDescent="0.25">
      <c r="A53" s="43" t="s">
        <v>142</v>
      </c>
      <c r="B53" s="186" t="s">
        <v>143</v>
      </c>
      <c r="C53" s="226"/>
      <c r="D53" s="50"/>
      <c r="E53" s="222"/>
    </row>
    <row r="54" spans="1:5" x14ac:dyDescent="0.25">
      <c r="A54" s="36" t="s">
        <v>172</v>
      </c>
      <c r="B54" s="33" t="s">
        <v>237</v>
      </c>
      <c r="C54" s="49" t="s">
        <v>2</v>
      </c>
      <c r="D54" s="50"/>
      <c r="E54" s="223"/>
    </row>
    <row r="55" spans="1:5" x14ac:dyDescent="0.25">
      <c r="A55" s="81" t="s">
        <v>172</v>
      </c>
      <c r="B55" s="78" t="s">
        <v>145</v>
      </c>
      <c r="C55" s="79" t="s">
        <v>2</v>
      </c>
      <c r="D55" s="50"/>
      <c r="E55" s="72"/>
    </row>
    <row r="56" spans="1:5" x14ac:dyDescent="0.25">
      <c r="A56" s="36" t="s">
        <v>144</v>
      </c>
      <c r="B56" s="33" t="s">
        <v>185</v>
      </c>
      <c r="C56" s="49" t="s">
        <v>2</v>
      </c>
      <c r="D56" s="50"/>
      <c r="E56" s="223"/>
    </row>
    <row r="57" spans="1:5" x14ac:dyDescent="0.25">
      <c r="A57" s="36" t="s">
        <v>202</v>
      </c>
      <c r="B57" s="33" t="s">
        <v>186</v>
      </c>
      <c r="C57" s="49" t="s">
        <v>1</v>
      </c>
      <c r="D57" s="50"/>
      <c r="E57" s="223"/>
    </row>
    <row r="58" spans="1:5" x14ac:dyDescent="0.25">
      <c r="A58" s="36" t="s">
        <v>146</v>
      </c>
      <c r="B58" s="33" t="s">
        <v>148</v>
      </c>
      <c r="C58" s="49" t="s">
        <v>2</v>
      </c>
      <c r="D58" s="50"/>
      <c r="E58" s="223"/>
    </row>
    <row r="59" spans="1:5" x14ac:dyDescent="0.25">
      <c r="A59" s="36" t="s">
        <v>147</v>
      </c>
      <c r="B59" s="33" t="s">
        <v>150</v>
      </c>
      <c r="C59" s="49" t="s">
        <v>2</v>
      </c>
      <c r="D59" s="50"/>
      <c r="E59" s="223"/>
    </row>
    <row r="60" spans="1:5" x14ac:dyDescent="0.25">
      <c r="A60" s="36" t="s">
        <v>149</v>
      </c>
      <c r="B60" s="33" t="s">
        <v>151</v>
      </c>
      <c r="C60" s="49" t="s">
        <v>2</v>
      </c>
      <c r="D60" s="50"/>
      <c r="E60" s="223"/>
    </row>
    <row r="61" spans="1:5" s="67" customFormat="1" ht="27.6" x14ac:dyDescent="0.3">
      <c r="A61" s="36" t="s">
        <v>404</v>
      </c>
      <c r="B61" s="33" t="s">
        <v>87</v>
      </c>
      <c r="C61" s="61" t="s">
        <v>2</v>
      </c>
      <c r="D61" s="50"/>
      <c r="E61" s="91"/>
    </row>
    <row r="62" spans="1:5" x14ac:dyDescent="0.25">
      <c r="A62" s="43" t="s">
        <v>152</v>
      </c>
      <c r="B62" s="43" t="s">
        <v>311</v>
      </c>
      <c r="C62" s="43"/>
      <c r="D62" s="37"/>
      <c r="E62" s="222"/>
    </row>
    <row r="63" spans="1:5" x14ac:dyDescent="0.25">
      <c r="A63" s="43" t="s">
        <v>71</v>
      </c>
      <c r="B63" s="186" t="s">
        <v>155</v>
      </c>
      <c r="C63" s="47"/>
      <c r="D63" s="37"/>
      <c r="E63" s="222"/>
    </row>
    <row r="64" spans="1:5" x14ac:dyDescent="0.25">
      <c r="A64" s="220" t="s">
        <v>189</v>
      </c>
      <c r="B64" s="15" t="s">
        <v>193</v>
      </c>
      <c r="C64" s="48" t="s">
        <v>8</v>
      </c>
      <c r="D64" s="37"/>
      <c r="E64" s="222"/>
    </row>
    <row r="65" spans="1:5" x14ac:dyDescent="0.25">
      <c r="A65" s="81" t="s">
        <v>402</v>
      </c>
      <c r="B65" s="78" t="s">
        <v>271</v>
      </c>
      <c r="C65" s="79" t="s">
        <v>8</v>
      </c>
      <c r="D65" s="80"/>
      <c r="E65" s="77"/>
    </row>
    <row r="66" spans="1:5" x14ac:dyDescent="0.25">
      <c r="A66" s="220" t="s">
        <v>405</v>
      </c>
      <c r="B66" s="51" t="s">
        <v>255</v>
      </c>
      <c r="C66" s="48" t="s">
        <v>8</v>
      </c>
      <c r="D66" s="52"/>
      <c r="E66" s="222"/>
    </row>
    <row r="67" spans="1:5" x14ac:dyDescent="0.25">
      <c r="A67" s="43" t="s">
        <v>173</v>
      </c>
      <c r="B67" s="186" t="s">
        <v>174</v>
      </c>
      <c r="C67" s="47"/>
      <c r="D67" s="50"/>
      <c r="E67" s="222"/>
    </row>
    <row r="68" spans="1:5" ht="27.6" x14ac:dyDescent="0.25">
      <c r="A68" s="220" t="s">
        <v>175</v>
      </c>
      <c r="B68" s="15" t="s">
        <v>194</v>
      </c>
      <c r="C68" s="48" t="s">
        <v>8</v>
      </c>
      <c r="D68" s="50"/>
      <c r="E68" s="222"/>
    </row>
    <row r="69" spans="1:5" x14ac:dyDescent="0.25">
      <c r="A69" s="220" t="s">
        <v>313</v>
      </c>
      <c r="B69" s="15" t="s">
        <v>377</v>
      </c>
      <c r="C69" s="48" t="s">
        <v>8</v>
      </c>
      <c r="D69" s="50"/>
      <c r="E69" s="222"/>
    </row>
    <row r="70" spans="1:5" x14ac:dyDescent="0.25">
      <c r="A70" s="36" t="s">
        <v>350</v>
      </c>
      <c r="B70" s="15" t="s">
        <v>365</v>
      </c>
      <c r="C70" s="48" t="s">
        <v>8</v>
      </c>
      <c r="D70" s="50"/>
      <c r="E70" s="96"/>
    </row>
    <row r="71" spans="1:5" x14ac:dyDescent="0.25">
      <c r="A71" s="43" t="s">
        <v>176</v>
      </c>
      <c r="B71" s="186" t="s">
        <v>88</v>
      </c>
      <c r="C71" s="47"/>
      <c r="D71" s="50"/>
      <c r="E71" s="222"/>
    </row>
    <row r="72" spans="1:5" x14ac:dyDescent="0.25">
      <c r="A72" s="220" t="s">
        <v>177</v>
      </c>
      <c r="B72" s="15" t="s">
        <v>218</v>
      </c>
      <c r="C72" s="48" t="s">
        <v>1</v>
      </c>
      <c r="D72" s="50"/>
      <c r="E72" s="222"/>
    </row>
    <row r="73" spans="1:5" x14ac:dyDescent="0.25">
      <c r="A73" s="43" t="s">
        <v>178</v>
      </c>
      <c r="B73" s="186" t="s">
        <v>37</v>
      </c>
      <c r="C73" s="47"/>
      <c r="D73" s="50"/>
      <c r="E73" s="222"/>
    </row>
    <row r="74" spans="1:5" x14ac:dyDescent="0.25">
      <c r="A74" s="220" t="s">
        <v>179</v>
      </c>
      <c r="B74" s="15" t="s">
        <v>180</v>
      </c>
      <c r="C74" s="48" t="s">
        <v>1</v>
      </c>
      <c r="D74" s="50"/>
      <c r="E74" s="222"/>
    </row>
    <row r="75" spans="1:5" ht="27.6" x14ac:dyDescent="0.25">
      <c r="A75" s="220" t="s">
        <v>181</v>
      </c>
      <c r="B75" s="15" t="s">
        <v>200</v>
      </c>
      <c r="C75" s="48" t="s">
        <v>1</v>
      </c>
      <c r="D75" s="50"/>
      <c r="E75" s="222"/>
    </row>
    <row r="76" spans="1:5" x14ac:dyDescent="0.25">
      <c r="A76" s="119" t="s">
        <v>40</v>
      </c>
      <c r="B76" s="53" t="s">
        <v>39</v>
      </c>
      <c r="C76" s="30"/>
      <c r="D76" s="32"/>
      <c r="E76" s="222"/>
    </row>
    <row r="77" spans="1:5" x14ac:dyDescent="0.25">
      <c r="A77" s="56" t="s">
        <v>41</v>
      </c>
      <c r="B77" s="27" t="s">
        <v>45</v>
      </c>
      <c r="C77" s="30"/>
      <c r="D77" s="32"/>
      <c r="E77" s="222"/>
    </row>
    <row r="78" spans="1:5" x14ac:dyDescent="0.25">
      <c r="A78" s="56" t="s">
        <v>49</v>
      </c>
      <c r="B78" s="55" t="s">
        <v>84</v>
      </c>
      <c r="C78" s="16" t="s">
        <v>89</v>
      </c>
      <c r="D78" s="32"/>
      <c r="E78" s="222"/>
    </row>
    <row r="79" spans="1:5" x14ac:dyDescent="0.25">
      <c r="A79" s="56" t="s">
        <v>50</v>
      </c>
      <c r="B79" s="55" t="s">
        <v>44</v>
      </c>
      <c r="C79" s="16" t="s">
        <v>89</v>
      </c>
      <c r="D79" s="32"/>
      <c r="E79" s="222"/>
    </row>
    <row r="80" spans="1:5" ht="27.6" x14ac:dyDescent="0.25">
      <c r="A80" s="56" t="s">
        <v>51</v>
      </c>
      <c r="B80" s="28" t="s">
        <v>250</v>
      </c>
      <c r="C80" s="16" t="s">
        <v>9</v>
      </c>
      <c r="D80" s="32"/>
      <c r="E80" s="222"/>
    </row>
    <row r="81" spans="1:5" ht="27.6" x14ac:dyDescent="0.25">
      <c r="A81" s="56" t="s">
        <v>52</v>
      </c>
      <c r="B81" s="56" t="s">
        <v>251</v>
      </c>
      <c r="C81" s="16" t="s">
        <v>9</v>
      </c>
      <c r="D81" s="32"/>
      <c r="E81" s="222"/>
    </row>
    <row r="82" spans="1:5" x14ac:dyDescent="0.25">
      <c r="A82" s="56" t="s">
        <v>53</v>
      </c>
      <c r="B82" s="55" t="s">
        <v>85</v>
      </c>
      <c r="C82" s="16" t="s">
        <v>8</v>
      </c>
      <c r="D82" s="32"/>
      <c r="E82" s="222"/>
    </row>
    <row r="83" spans="1:5" x14ac:dyDescent="0.25">
      <c r="A83" s="56" t="s">
        <v>54</v>
      </c>
      <c r="B83" s="55" t="s">
        <v>91</v>
      </c>
      <c r="C83" s="16" t="s">
        <v>8</v>
      </c>
      <c r="D83" s="32"/>
      <c r="E83" s="222"/>
    </row>
    <row r="84" spans="1:5" x14ac:dyDescent="0.25">
      <c r="A84" s="56" t="s">
        <v>203</v>
      </c>
      <c r="B84" s="55" t="s">
        <v>90</v>
      </c>
      <c r="C84" s="16" t="s">
        <v>89</v>
      </c>
      <c r="D84" s="32"/>
      <c r="E84" s="222"/>
    </row>
    <row r="85" spans="1:5" x14ac:dyDescent="0.25">
      <c r="A85" s="119" t="s">
        <v>43</v>
      </c>
      <c r="B85" s="27" t="s">
        <v>46</v>
      </c>
      <c r="C85" s="16"/>
      <c r="D85" s="32"/>
      <c r="E85" s="222"/>
    </row>
    <row r="86" spans="1:5" x14ac:dyDescent="0.25">
      <c r="A86" s="56" t="s">
        <v>55</v>
      </c>
      <c r="B86" s="57" t="s">
        <v>101</v>
      </c>
      <c r="C86" s="16" t="s">
        <v>8</v>
      </c>
      <c r="D86" s="32"/>
      <c r="E86" s="222"/>
    </row>
    <row r="87" spans="1:5" x14ac:dyDescent="0.25">
      <c r="A87" s="119" t="s">
        <v>42</v>
      </c>
      <c r="B87" s="58" t="s">
        <v>47</v>
      </c>
      <c r="C87" s="16"/>
      <c r="D87" s="32"/>
      <c r="E87" s="222"/>
    </row>
    <row r="88" spans="1:5" x14ac:dyDescent="0.25">
      <c r="A88" s="36" t="s">
        <v>56</v>
      </c>
      <c r="B88" s="56" t="s">
        <v>48</v>
      </c>
      <c r="C88" s="16" t="s">
        <v>8</v>
      </c>
      <c r="D88" s="32"/>
      <c r="E88" s="222"/>
    </row>
    <row r="89" spans="1:5" x14ac:dyDescent="0.25">
      <c r="A89" s="56" t="s">
        <v>102</v>
      </c>
      <c r="B89" s="55" t="s">
        <v>103</v>
      </c>
      <c r="C89" s="16" t="s">
        <v>73</v>
      </c>
      <c r="D89" s="32"/>
      <c r="E89" s="222"/>
    </row>
    <row r="90" spans="1:5" x14ac:dyDescent="0.25">
      <c r="A90" s="119" t="s">
        <v>223</v>
      </c>
      <c r="B90" s="27" t="s">
        <v>366</v>
      </c>
      <c r="C90" s="30"/>
      <c r="D90" s="59"/>
      <c r="E90" s="222"/>
    </row>
    <row r="91" spans="1:5" x14ac:dyDescent="0.25">
      <c r="A91" s="119" t="s">
        <v>224</v>
      </c>
      <c r="B91" s="58" t="s">
        <v>369</v>
      </c>
      <c r="C91" s="30"/>
      <c r="D91" s="59"/>
      <c r="E91" s="222"/>
    </row>
    <row r="92" spans="1:5" x14ac:dyDescent="0.25">
      <c r="A92" s="56" t="s">
        <v>225</v>
      </c>
      <c r="B92" s="55" t="s">
        <v>331</v>
      </c>
      <c r="C92" s="48" t="s">
        <v>1</v>
      </c>
      <c r="D92" s="59"/>
      <c r="E92" s="222"/>
    </row>
    <row r="93" spans="1:5" ht="16.2" x14ac:dyDescent="0.25">
      <c r="A93" s="56" t="s">
        <v>226</v>
      </c>
      <c r="B93" s="55" t="s">
        <v>408</v>
      </c>
      <c r="C93" s="16" t="s">
        <v>275</v>
      </c>
      <c r="D93" s="59"/>
      <c r="E93" s="222"/>
    </row>
    <row r="94" spans="1:5" ht="16.2" x14ac:dyDescent="0.25">
      <c r="A94" s="56" t="s">
        <v>227</v>
      </c>
      <c r="B94" s="55" t="s">
        <v>94</v>
      </c>
      <c r="C94" s="16" t="s">
        <v>275</v>
      </c>
      <c r="D94" s="59"/>
      <c r="E94" s="222"/>
    </row>
    <row r="95" spans="1:5" ht="16.2" x14ac:dyDescent="0.25">
      <c r="A95" s="56" t="s">
        <v>228</v>
      </c>
      <c r="B95" s="55" t="s">
        <v>231</v>
      </c>
      <c r="C95" s="16" t="s">
        <v>279</v>
      </c>
      <c r="D95" s="59"/>
      <c r="E95" s="222"/>
    </row>
    <row r="96" spans="1:5" x14ac:dyDescent="0.25">
      <c r="A96" s="56" t="s">
        <v>229</v>
      </c>
      <c r="B96" s="55" t="s">
        <v>370</v>
      </c>
      <c r="C96" s="16" t="s">
        <v>8</v>
      </c>
      <c r="D96" s="59"/>
      <c r="E96" s="222"/>
    </row>
    <row r="97" spans="1:5" ht="27.6" x14ac:dyDescent="0.25">
      <c r="A97" s="36" t="s">
        <v>229</v>
      </c>
      <c r="B97" s="36" t="s">
        <v>96</v>
      </c>
      <c r="C97" s="61" t="s">
        <v>4</v>
      </c>
      <c r="D97" s="59"/>
      <c r="E97" s="222"/>
    </row>
    <row r="98" spans="1:5" x14ac:dyDescent="0.25">
      <c r="A98" s="227" t="s">
        <v>230</v>
      </c>
      <c r="B98" s="57" t="s">
        <v>222</v>
      </c>
      <c r="C98" s="16" t="s">
        <v>2</v>
      </c>
      <c r="D98" s="62"/>
      <c r="E98" s="222"/>
    </row>
    <row r="99" spans="1:5" x14ac:dyDescent="0.25">
      <c r="A99" s="227" t="s">
        <v>300</v>
      </c>
      <c r="B99" s="58" t="s">
        <v>62</v>
      </c>
      <c r="C99" s="16"/>
      <c r="D99" s="32"/>
      <c r="E99" s="222"/>
    </row>
    <row r="100" spans="1:5" x14ac:dyDescent="0.25">
      <c r="A100" s="36" t="s">
        <v>65</v>
      </c>
      <c r="B100" s="55" t="s">
        <v>63</v>
      </c>
      <c r="C100" s="16" t="s">
        <v>2</v>
      </c>
      <c r="D100" s="32"/>
      <c r="E100" s="222"/>
    </row>
    <row r="101" spans="1:5" x14ac:dyDescent="0.25">
      <c r="A101" s="36" t="s">
        <v>371</v>
      </c>
      <c r="B101" s="55" t="s">
        <v>367</v>
      </c>
      <c r="C101" s="16" t="s">
        <v>301</v>
      </c>
      <c r="D101" s="32"/>
      <c r="E101" s="222"/>
    </row>
    <row r="102" spans="1:5" x14ac:dyDescent="0.25">
      <c r="A102" s="228" t="s">
        <v>265</v>
      </c>
      <c r="B102" s="195" t="s">
        <v>261</v>
      </c>
      <c r="C102" s="196"/>
      <c r="D102" s="229"/>
      <c r="E102" s="65"/>
    </row>
    <row r="103" spans="1:5" x14ac:dyDescent="0.25">
      <c r="A103" s="230" t="s">
        <v>266</v>
      </c>
      <c r="B103" s="110" t="s">
        <v>262</v>
      </c>
      <c r="C103" s="37"/>
      <c r="D103" s="50"/>
      <c r="E103" s="37"/>
    </row>
    <row r="104" spans="1:5" x14ac:dyDescent="0.25">
      <c r="A104" s="230" t="s">
        <v>333</v>
      </c>
      <c r="B104" s="69" t="s">
        <v>267</v>
      </c>
      <c r="C104" s="37" t="s">
        <v>2</v>
      </c>
      <c r="D104" s="50"/>
      <c r="E104" s="37"/>
    </row>
    <row r="105" spans="1:5" x14ac:dyDescent="0.25">
      <c r="A105" s="230" t="s">
        <v>332</v>
      </c>
      <c r="B105" s="69" t="s">
        <v>263</v>
      </c>
      <c r="C105" s="37" t="s">
        <v>8</v>
      </c>
      <c r="D105" s="50"/>
      <c r="E105" s="37"/>
    </row>
    <row r="106" spans="1:5" x14ac:dyDescent="0.25">
      <c r="A106" s="230" t="s">
        <v>334</v>
      </c>
      <c r="B106" s="69" t="s">
        <v>264</v>
      </c>
      <c r="C106" s="37" t="s">
        <v>8</v>
      </c>
      <c r="D106" s="50"/>
      <c r="E106" s="37"/>
    </row>
    <row r="107" spans="1:5" x14ac:dyDescent="0.25">
      <c r="A107" s="227" t="s">
        <v>243</v>
      </c>
      <c r="B107" s="27" t="s">
        <v>282</v>
      </c>
      <c r="C107" s="16"/>
      <c r="D107" s="32"/>
      <c r="E107" s="222"/>
    </row>
    <row r="108" spans="1:5" ht="16.2" x14ac:dyDescent="0.25">
      <c r="A108" s="36" t="s">
        <v>244</v>
      </c>
      <c r="B108" s="34" t="s">
        <v>240</v>
      </c>
      <c r="C108" s="16" t="s">
        <v>279</v>
      </c>
      <c r="D108" s="32"/>
      <c r="E108" s="222"/>
    </row>
    <row r="109" spans="1:5" ht="16.2" x14ac:dyDescent="0.25">
      <c r="A109" s="36" t="s">
        <v>245</v>
      </c>
      <c r="B109" s="34" t="s">
        <v>241</v>
      </c>
      <c r="C109" s="16" t="s">
        <v>279</v>
      </c>
      <c r="D109" s="32"/>
      <c r="E109" s="222"/>
    </row>
    <row r="110" spans="1:5" x14ac:dyDescent="0.25">
      <c r="A110" s="36" t="s">
        <v>246</v>
      </c>
      <c r="B110" s="34" t="s">
        <v>375</v>
      </c>
      <c r="C110" s="16" t="s">
        <v>2</v>
      </c>
      <c r="D110" s="32"/>
      <c r="E110" s="222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1"/>
  <sheetViews>
    <sheetView topLeftCell="A34" workbookViewId="0">
      <selection activeCell="G40" sqref="G40"/>
    </sheetView>
  </sheetViews>
  <sheetFormatPr baseColWidth="10" defaultColWidth="9.109375" defaultRowHeight="15.6" x14ac:dyDescent="0.3"/>
  <cols>
    <col min="1" max="1" width="9.33203125" style="3" customWidth="1"/>
    <col min="2" max="2" width="47.5546875" style="4" customWidth="1"/>
    <col min="3" max="3" width="9.6640625" style="1" customWidth="1"/>
    <col min="4" max="4" width="9" style="5" customWidth="1"/>
    <col min="5" max="5" width="14.88671875" style="7" customWidth="1"/>
    <col min="6" max="6" width="14.88671875" style="124" bestFit="1" customWidth="1"/>
    <col min="7" max="245" width="9.109375" style="1"/>
    <col min="246" max="246" width="4.5546875" style="1" customWidth="1"/>
    <col min="247" max="247" width="52.5546875" style="1" customWidth="1"/>
    <col min="248" max="248" width="2.88671875" style="1" customWidth="1"/>
    <col min="249" max="249" width="8.109375" style="1" customWidth="1"/>
    <col min="250" max="250" width="12.5546875" style="1" customWidth="1"/>
    <col min="251" max="251" width="9.109375" style="1" customWidth="1"/>
    <col min="252" max="501" width="9.109375" style="1"/>
    <col min="502" max="502" width="4.5546875" style="1" customWidth="1"/>
    <col min="503" max="503" width="52.5546875" style="1" customWidth="1"/>
    <col min="504" max="504" width="2.88671875" style="1" customWidth="1"/>
    <col min="505" max="505" width="8.109375" style="1" customWidth="1"/>
    <col min="506" max="506" width="12.5546875" style="1" customWidth="1"/>
    <col min="507" max="507" width="9.109375" style="1" customWidth="1"/>
    <col min="508" max="757" width="9.109375" style="1"/>
    <col min="758" max="758" width="4.5546875" style="1" customWidth="1"/>
    <col min="759" max="759" width="52.5546875" style="1" customWidth="1"/>
    <col min="760" max="760" width="2.88671875" style="1" customWidth="1"/>
    <col min="761" max="761" width="8.109375" style="1" customWidth="1"/>
    <col min="762" max="762" width="12.5546875" style="1" customWidth="1"/>
    <col min="763" max="763" width="9.109375" style="1" customWidth="1"/>
    <col min="764" max="1013" width="9.109375" style="1"/>
    <col min="1014" max="1014" width="4.5546875" style="1" customWidth="1"/>
    <col min="1015" max="1015" width="52.5546875" style="1" customWidth="1"/>
    <col min="1016" max="1016" width="2.88671875" style="1" customWidth="1"/>
    <col min="1017" max="1017" width="8.109375" style="1" customWidth="1"/>
    <col min="1018" max="1018" width="12.5546875" style="1" customWidth="1"/>
    <col min="1019" max="1019" width="9.109375" style="1" customWidth="1"/>
    <col min="1020" max="1269" width="9.109375" style="1"/>
    <col min="1270" max="1270" width="4.5546875" style="1" customWidth="1"/>
    <col min="1271" max="1271" width="52.5546875" style="1" customWidth="1"/>
    <col min="1272" max="1272" width="2.88671875" style="1" customWidth="1"/>
    <col min="1273" max="1273" width="8.109375" style="1" customWidth="1"/>
    <col min="1274" max="1274" width="12.5546875" style="1" customWidth="1"/>
    <col min="1275" max="1275" width="9.109375" style="1" customWidth="1"/>
    <col min="1276" max="1525" width="9.109375" style="1"/>
    <col min="1526" max="1526" width="4.5546875" style="1" customWidth="1"/>
    <col min="1527" max="1527" width="52.5546875" style="1" customWidth="1"/>
    <col min="1528" max="1528" width="2.88671875" style="1" customWidth="1"/>
    <col min="1529" max="1529" width="8.109375" style="1" customWidth="1"/>
    <col min="1530" max="1530" width="12.5546875" style="1" customWidth="1"/>
    <col min="1531" max="1531" width="9.109375" style="1" customWidth="1"/>
    <col min="1532" max="1781" width="9.109375" style="1"/>
    <col min="1782" max="1782" width="4.5546875" style="1" customWidth="1"/>
    <col min="1783" max="1783" width="52.5546875" style="1" customWidth="1"/>
    <col min="1784" max="1784" width="2.88671875" style="1" customWidth="1"/>
    <col min="1785" max="1785" width="8.109375" style="1" customWidth="1"/>
    <col min="1786" max="1786" width="12.5546875" style="1" customWidth="1"/>
    <col min="1787" max="1787" width="9.109375" style="1" customWidth="1"/>
    <col min="1788" max="2037" width="9.109375" style="1"/>
    <col min="2038" max="2038" width="4.5546875" style="1" customWidth="1"/>
    <col min="2039" max="2039" width="52.5546875" style="1" customWidth="1"/>
    <col min="2040" max="2040" width="2.88671875" style="1" customWidth="1"/>
    <col min="2041" max="2041" width="8.109375" style="1" customWidth="1"/>
    <col min="2042" max="2042" width="12.5546875" style="1" customWidth="1"/>
    <col min="2043" max="2043" width="9.109375" style="1" customWidth="1"/>
    <col min="2044" max="2293" width="9.109375" style="1"/>
    <col min="2294" max="2294" width="4.5546875" style="1" customWidth="1"/>
    <col min="2295" max="2295" width="52.5546875" style="1" customWidth="1"/>
    <col min="2296" max="2296" width="2.88671875" style="1" customWidth="1"/>
    <col min="2297" max="2297" width="8.109375" style="1" customWidth="1"/>
    <col min="2298" max="2298" width="12.5546875" style="1" customWidth="1"/>
    <col min="2299" max="2299" width="9.109375" style="1" customWidth="1"/>
    <col min="2300" max="2549" width="9.109375" style="1"/>
    <col min="2550" max="2550" width="4.5546875" style="1" customWidth="1"/>
    <col min="2551" max="2551" width="52.5546875" style="1" customWidth="1"/>
    <col min="2552" max="2552" width="2.88671875" style="1" customWidth="1"/>
    <col min="2553" max="2553" width="8.109375" style="1" customWidth="1"/>
    <col min="2554" max="2554" width="12.5546875" style="1" customWidth="1"/>
    <col min="2555" max="2555" width="9.109375" style="1" customWidth="1"/>
    <col min="2556" max="2805" width="9.109375" style="1"/>
    <col min="2806" max="2806" width="4.5546875" style="1" customWidth="1"/>
    <col min="2807" max="2807" width="52.5546875" style="1" customWidth="1"/>
    <col min="2808" max="2808" width="2.88671875" style="1" customWidth="1"/>
    <col min="2809" max="2809" width="8.109375" style="1" customWidth="1"/>
    <col min="2810" max="2810" width="12.5546875" style="1" customWidth="1"/>
    <col min="2811" max="2811" width="9.109375" style="1" customWidth="1"/>
    <col min="2812" max="3061" width="9.109375" style="1"/>
    <col min="3062" max="3062" width="4.5546875" style="1" customWidth="1"/>
    <col min="3063" max="3063" width="52.5546875" style="1" customWidth="1"/>
    <col min="3064" max="3064" width="2.88671875" style="1" customWidth="1"/>
    <col min="3065" max="3065" width="8.109375" style="1" customWidth="1"/>
    <col min="3066" max="3066" width="12.5546875" style="1" customWidth="1"/>
    <col min="3067" max="3067" width="9.109375" style="1" customWidth="1"/>
    <col min="3068" max="3317" width="9.109375" style="1"/>
    <col min="3318" max="3318" width="4.5546875" style="1" customWidth="1"/>
    <col min="3319" max="3319" width="52.5546875" style="1" customWidth="1"/>
    <col min="3320" max="3320" width="2.88671875" style="1" customWidth="1"/>
    <col min="3321" max="3321" width="8.109375" style="1" customWidth="1"/>
    <col min="3322" max="3322" width="12.5546875" style="1" customWidth="1"/>
    <col min="3323" max="3323" width="9.109375" style="1" customWidth="1"/>
    <col min="3324" max="3573" width="9.109375" style="1"/>
    <col min="3574" max="3574" width="4.5546875" style="1" customWidth="1"/>
    <col min="3575" max="3575" width="52.5546875" style="1" customWidth="1"/>
    <col min="3576" max="3576" width="2.88671875" style="1" customWidth="1"/>
    <col min="3577" max="3577" width="8.109375" style="1" customWidth="1"/>
    <col min="3578" max="3578" width="12.5546875" style="1" customWidth="1"/>
    <col min="3579" max="3579" width="9.109375" style="1" customWidth="1"/>
    <col min="3580" max="3829" width="9.109375" style="1"/>
    <col min="3830" max="3830" width="4.5546875" style="1" customWidth="1"/>
    <col min="3831" max="3831" width="52.5546875" style="1" customWidth="1"/>
    <col min="3832" max="3832" width="2.88671875" style="1" customWidth="1"/>
    <col min="3833" max="3833" width="8.109375" style="1" customWidth="1"/>
    <col min="3834" max="3834" width="12.5546875" style="1" customWidth="1"/>
    <col min="3835" max="3835" width="9.109375" style="1" customWidth="1"/>
    <col min="3836" max="4085" width="9.109375" style="1"/>
    <col min="4086" max="4086" width="4.5546875" style="1" customWidth="1"/>
    <col min="4087" max="4087" width="52.5546875" style="1" customWidth="1"/>
    <col min="4088" max="4088" width="2.88671875" style="1" customWidth="1"/>
    <col min="4089" max="4089" width="8.109375" style="1" customWidth="1"/>
    <col min="4090" max="4090" width="12.5546875" style="1" customWidth="1"/>
    <col min="4091" max="4091" width="9.109375" style="1" customWidth="1"/>
    <col min="4092" max="4341" width="9.109375" style="1"/>
    <col min="4342" max="4342" width="4.5546875" style="1" customWidth="1"/>
    <col min="4343" max="4343" width="52.5546875" style="1" customWidth="1"/>
    <col min="4344" max="4344" width="2.88671875" style="1" customWidth="1"/>
    <col min="4345" max="4345" width="8.109375" style="1" customWidth="1"/>
    <col min="4346" max="4346" width="12.5546875" style="1" customWidth="1"/>
    <col min="4347" max="4347" width="9.109375" style="1" customWidth="1"/>
    <col min="4348" max="4597" width="9.109375" style="1"/>
    <col min="4598" max="4598" width="4.5546875" style="1" customWidth="1"/>
    <col min="4599" max="4599" width="52.5546875" style="1" customWidth="1"/>
    <col min="4600" max="4600" width="2.88671875" style="1" customWidth="1"/>
    <col min="4601" max="4601" width="8.109375" style="1" customWidth="1"/>
    <col min="4602" max="4602" width="12.5546875" style="1" customWidth="1"/>
    <col min="4603" max="4603" width="9.109375" style="1" customWidth="1"/>
    <col min="4604" max="4853" width="9.109375" style="1"/>
    <col min="4854" max="4854" width="4.5546875" style="1" customWidth="1"/>
    <col min="4855" max="4855" width="52.5546875" style="1" customWidth="1"/>
    <col min="4856" max="4856" width="2.88671875" style="1" customWidth="1"/>
    <col min="4857" max="4857" width="8.109375" style="1" customWidth="1"/>
    <col min="4858" max="4858" width="12.5546875" style="1" customWidth="1"/>
    <col min="4859" max="4859" width="9.109375" style="1" customWidth="1"/>
    <col min="4860" max="5109" width="9.109375" style="1"/>
    <col min="5110" max="5110" width="4.5546875" style="1" customWidth="1"/>
    <col min="5111" max="5111" width="52.5546875" style="1" customWidth="1"/>
    <col min="5112" max="5112" width="2.88671875" style="1" customWidth="1"/>
    <col min="5113" max="5113" width="8.109375" style="1" customWidth="1"/>
    <col min="5114" max="5114" width="12.5546875" style="1" customWidth="1"/>
    <col min="5115" max="5115" width="9.109375" style="1" customWidth="1"/>
    <col min="5116" max="5365" width="9.109375" style="1"/>
    <col min="5366" max="5366" width="4.5546875" style="1" customWidth="1"/>
    <col min="5367" max="5367" width="52.5546875" style="1" customWidth="1"/>
    <col min="5368" max="5368" width="2.88671875" style="1" customWidth="1"/>
    <col min="5369" max="5369" width="8.109375" style="1" customWidth="1"/>
    <col min="5370" max="5370" width="12.5546875" style="1" customWidth="1"/>
    <col min="5371" max="5371" width="9.109375" style="1" customWidth="1"/>
    <col min="5372" max="5621" width="9.109375" style="1"/>
    <col min="5622" max="5622" width="4.5546875" style="1" customWidth="1"/>
    <col min="5623" max="5623" width="52.5546875" style="1" customWidth="1"/>
    <col min="5624" max="5624" width="2.88671875" style="1" customWidth="1"/>
    <col min="5625" max="5625" width="8.109375" style="1" customWidth="1"/>
    <col min="5626" max="5626" width="12.5546875" style="1" customWidth="1"/>
    <col min="5627" max="5627" width="9.109375" style="1" customWidth="1"/>
    <col min="5628" max="5877" width="9.109375" style="1"/>
    <col min="5878" max="5878" width="4.5546875" style="1" customWidth="1"/>
    <col min="5879" max="5879" width="52.5546875" style="1" customWidth="1"/>
    <col min="5880" max="5880" width="2.88671875" style="1" customWidth="1"/>
    <col min="5881" max="5881" width="8.109375" style="1" customWidth="1"/>
    <col min="5882" max="5882" width="12.5546875" style="1" customWidth="1"/>
    <col min="5883" max="5883" width="9.109375" style="1" customWidth="1"/>
    <col min="5884" max="6133" width="9.109375" style="1"/>
    <col min="6134" max="6134" width="4.5546875" style="1" customWidth="1"/>
    <col min="6135" max="6135" width="52.5546875" style="1" customWidth="1"/>
    <col min="6136" max="6136" width="2.88671875" style="1" customWidth="1"/>
    <col min="6137" max="6137" width="8.109375" style="1" customWidth="1"/>
    <col min="6138" max="6138" width="12.5546875" style="1" customWidth="1"/>
    <col min="6139" max="6139" width="9.109375" style="1" customWidth="1"/>
    <col min="6140" max="6389" width="9.109375" style="1"/>
    <col min="6390" max="6390" width="4.5546875" style="1" customWidth="1"/>
    <col min="6391" max="6391" width="52.5546875" style="1" customWidth="1"/>
    <col min="6392" max="6392" width="2.88671875" style="1" customWidth="1"/>
    <col min="6393" max="6393" width="8.109375" style="1" customWidth="1"/>
    <col min="6394" max="6394" width="12.5546875" style="1" customWidth="1"/>
    <col min="6395" max="6395" width="9.109375" style="1" customWidth="1"/>
    <col min="6396" max="6645" width="9.109375" style="1"/>
    <col min="6646" max="6646" width="4.5546875" style="1" customWidth="1"/>
    <col min="6647" max="6647" width="52.5546875" style="1" customWidth="1"/>
    <col min="6648" max="6648" width="2.88671875" style="1" customWidth="1"/>
    <col min="6649" max="6649" width="8.109375" style="1" customWidth="1"/>
    <col min="6650" max="6650" width="12.5546875" style="1" customWidth="1"/>
    <col min="6651" max="6651" width="9.109375" style="1" customWidth="1"/>
    <col min="6652" max="6901" width="9.109375" style="1"/>
    <col min="6902" max="6902" width="4.5546875" style="1" customWidth="1"/>
    <col min="6903" max="6903" width="52.5546875" style="1" customWidth="1"/>
    <col min="6904" max="6904" width="2.88671875" style="1" customWidth="1"/>
    <col min="6905" max="6905" width="8.109375" style="1" customWidth="1"/>
    <col min="6906" max="6906" width="12.5546875" style="1" customWidth="1"/>
    <col min="6907" max="6907" width="9.109375" style="1" customWidth="1"/>
    <col min="6908" max="7157" width="9.109375" style="1"/>
    <col min="7158" max="7158" width="4.5546875" style="1" customWidth="1"/>
    <col min="7159" max="7159" width="52.5546875" style="1" customWidth="1"/>
    <col min="7160" max="7160" width="2.88671875" style="1" customWidth="1"/>
    <col min="7161" max="7161" width="8.109375" style="1" customWidth="1"/>
    <col min="7162" max="7162" width="12.5546875" style="1" customWidth="1"/>
    <col min="7163" max="7163" width="9.109375" style="1" customWidth="1"/>
    <col min="7164" max="7413" width="9.109375" style="1"/>
    <col min="7414" max="7414" width="4.5546875" style="1" customWidth="1"/>
    <col min="7415" max="7415" width="52.5546875" style="1" customWidth="1"/>
    <col min="7416" max="7416" width="2.88671875" style="1" customWidth="1"/>
    <col min="7417" max="7417" width="8.109375" style="1" customWidth="1"/>
    <col min="7418" max="7418" width="12.5546875" style="1" customWidth="1"/>
    <col min="7419" max="7419" width="9.109375" style="1" customWidth="1"/>
    <col min="7420" max="7669" width="9.109375" style="1"/>
    <col min="7670" max="7670" width="4.5546875" style="1" customWidth="1"/>
    <col min="7671" max="7671" width="52.5546875" style="1" customWidth="1"/>
    <col min="7672" max="7672" width="2.88671875" style="1" customWidth="1"/>
    <col min="7673" max="7673" width="8.109375" style="1" customWidth="1"/>
    <col min="7674" max="7674" width="12.5546875" style="1" customWidth="1"/>
    <col min="7675" max="7675" width="9.109375" style="1" customWidth="1"/>
    <col min="7676" max="7925" width="9.109375" style="1"/>
    <col min="7926" max="7926" width="4.5546875" style="1" customWidth="1"/>
    <col min="7927" max="7927" width="52.5546875" style="1" customWidth="1"/>
    <col min="7928" max="7928" width="2.88671875" style="1" customWidth="1"/>
    <col min="7929" max="7929" width="8.109375" style="1" customWidth="1"/>
    <col min="7930" max="7930" width="12.5546875" style="1" customWidth="1"/>
    <col min="7931" max="7931" width="9.109375" style="1" customWidth="1"/>
    <col min="7932" max="8181" width="9.109375" style="1"/>
    <col min="8182" max="8182" width="4.5546875" style="1" customWidth="1"/>
    <col min="8183" max="8183" width="52.5546875" style="1" customWidth="1"/>
    <col min="8184" max="8184" width="2.88671875" style="1" customWidth="1"/>
    <col min="8185" max="8185" width="8.109375" style="1" customWidth="1"/>
    <col min="8186" max="8186" width="12.5546875" style="1" customWidth="1"/>
    <col min="8187" max="8187" width="9.109375" style="1" customWidth="1"/>
    <col min="8188" max="8437" width="9.109375" style="1"/>
    <col min="8438" max="8438" width="4.5546875" style="1" customWidth="1"/>
    <col min="8439" max="8439" width="52.5546875" style="1" customWidth="1"/>
    <col min="8440" max="8440" width="2.88671875" style="1" customWidth="1"/>
    <col min="8441" max="8441" width="8.109375" style="1" customWidth="1"/>
    <col min="8442" max="8442" width="12.5546875" style="1" customWidth="1"/>
    <col min="8443" max="8443" width="9.109375" style="1" customWidth="1"/>
    <col min="8444" max="8693" width="9.109375" style="1"/>
    <col min="8694" max="8694" width="4.5546875" style="1" customWidth="1"/>
    <col min="8695" max="8695" width="52.5546875" style="1" customWidth="1"/>
    <col min="8696" max="8696" width="2.88671875" style="1" customWidth="1"/>
    <col min="8697" max="8697" width="8.109375" style="1" customWidth="1"/>
    <col min="8698" max="8698" width="12.5546875" style="1" customWidth="1"/>
    <col min="8699" max="8699" width="9.109375" style="1" customWidth="1"/>
    <col min="8700" max="8949" width="9.109375" style="1"/>
    <col min="8950" max="8950" width="4.5546875" style="1" customWidth="1"/>
    <col min="8951" max="8951" width="52.5546875" style="1" customWidth="1"/>
    <col min="8952" max="8952" width="2.88671875" style="1" customWidth="1"/>
    <col min="8953" max="8953" width="8.109375" style="1" customWidth="1"/>
    <col min="8954" max="8954" width="12.5546875" style="1" customWidth="1"/>
    <col min="8955" max="8955" width="9.109375" style="1" customWidth="1"/>
    <col min="8956" max="9205" width="9.109375" style="1"/>
    <col min="9206" max="9206" width="4.5546875" style="1" customWidth="1"/>
    <col min="9207" max="9207" width="52.5546875" style="1" customWidth="1"/>
    <col min="9208" max="9208" width="2.88671875" style="1" customWidth="1"/>
    <col min="9209" max="9209" width="8.109375" style="1" customWidth="1"/>
    <col min="9210" max="9210" width="12.5546875" style="1" customWidth="1"/>
    <col min="9211" max="9211" width="9.109375" style="1" customWidth="1"/>
    <col min="9212" max="9461" width="9.109375" style="1"/>
    <col min="9462" max="9462" width="4.5546875" style="1" customWidth="1"/>
    <col min="9463" max="9463" width="52.5546875" style="1" customWidth="1"/>
    <col min="9464" max="9464" width="2.88671875" style="1" customWidth="1"/>
    <col min="9465" max="9465" width="8.109375" style="1" customWidth="1"/>
    <col min="9466" max="9466" width="12.5546875" style="1" customWidth="1"/>
    <col min="9467" max="9467" width="9.109375" style="1" customWidth="1"/>
    <col min="9468" max="9717" width="9.109375" style="1"/>
    <col min="9718" max="9718" width="4.5546875" style="1" customWidth="1"/>
    <col min="9719" max="9719" width="52.5546875" style="1" customWidth="1"/>
    <col min="9720" max="9720" width="2.88671875" style="1" customWidth="1"/>
    <col min="9721" max="9721" width="8.109375" style="1" customWidth="1"/>
    <col min="9722" max="9722" width="12.5546875" style="1" customWidth="1"/>
    <col min="9723" max="9723" width="9.109375" style="1" customWidth="1"/>
    <col min="9724" max="9973" width="9.109375" style="1"/>
    <col min="9974" max="9974" width="4.5546875" style="1" customWidth="1"/>
    <col min="9975" max="9975" width="52.5546875" style="1" customWidth="1"/>
    <col min="9976" max="9976" width="2.88671875" style="1" customWidth="1"/>
    <col min="9977" max="9977" width="8.109375" style="1" customWidth="1"/>
    <col min="9978" max="9978" width="12.5546875" style="1" customWidth="1"/>
    <col min="9979" max="9979" width="9.109375" style="1" customWidth="1"/>
    <col min="9980" max="10229" width="9.109375" style="1"/>
    <col min="10230" max="10230" width="4.5546875" style="1" customWidth="1"/>
    <col min="10231" max="10231" width="52.5546875" style="1" customWidth="1"/>
    <col min="10232" max="10232" width="2.88671875" style="1" customWidth="1"/>
    <col min="10233" max="10233" width="8.109375" style="1" customWidth="1"/>
    <col min="10234" max="10234" width="12.5546875" style="1" customWidth="1"/>
    <col min="10235" max="10235" width="9.109375" style="1" customWidth="1"/>
    <col min="10236" max="10485" width="9.109375" style="1"/>
    <col min="10486" max="10486" width="4.5546875" style="1" customWidth="1"/>
    <col min="10487" max="10487" width="52.5546875" style="1" customWidth="1"/>
    <col min="10488" max="10488" width="2.88671875" style="1" customWidth="1"/>
    <col min="10489" max="10489" width="8.109375" style="1" customWidth="1"/>
    <col min="10490" max="10490" width="12.5546875" style="1" customWidth="1"/>
    <col min="10491" max="10491" width="9.109375" style="1" customWidth="1"/>
    <col min="10492" max="10741" width="9.109375" style="1"/>
    <col min="10742" max="10742" width="4.5546875" style="1" customWidth="1"/>
    <col min="10743" max="10743" width="52.5546875" style="1" customWidth="1"/>
    <col min="10744" max="10744" width="2.88671875" style="1" customWidth="1"/>
    <col min="10745" max="10745" width="8.109375" style="1" customWidth="1"/>
    <col min="10746" max="10746" width="12.5546875" style="1" customWidth="1"/>
    <col min="10747" max="10747" width="9.109375" style="1" customWidth="1"/>
    <col min="10748" max="10997" width="9.109375" style="1"/>
    <col min="10998" max="10998" width="4.5546875" style="1" customWidth="1"/>
    <col min="10999" max="10999" width="52.5546875" style="1" customWidth="1"/>
    <col min="11000" max="11000" width="2.88671875" style="1" customWidth="1"/>
    <col min="11001" max="11001" width="8.109375" style="1" customWidth="1"/>
    <col min="11002" max="11002" width="12.5546875" style="1" customWidth="1"/>
    <col min="11003" max="11003" width="9.109375" style="1" customWidth="1"/>
    <col min="11004" max="11253" width="9.109375" style="1"/>
    <col min="11254" max="11254" width="4.5546875" style="1" customWidth="1"/>
    <col min="11255" max="11255" width="52.5546875" style="1" customWidth="1"/>
    <col min="11256" max="11256" width="2.88671875" style="1" customWidth="1"/>
    <col min="11257" max="11257" width="8.109375" style="1" customWidth="1"/>
    <col min="11258" max="11258" width="12.5546875" style="1" customWidth="1"/>
    <col min="11259" max="11259" width="9.109375" style="1" customWidth="1"/>
    <col min="11260" max="11509" width="9.109375" style="1"/>
    <col min="11510" max="11510" width="4.5546875" style="1" customWidth="1"/>
    <col min="11511" max="11511" width="52.5546875" style="1" customWidth="1"/>
    <col min="11512" max="11512" width="2.88671875" style="1" customWidth="1"/>
    <col min="11513" max="11513" width="8.109375" style="1" customWidth="1"/>
    <col min="11514" max="11514" width="12.5546875" style="1" customWidth="1"/>
    <col min="11515" max="11515" width="9.109375" style="1" customWidth="1"/>
    <col min="11516" max="11765" width="9.109375" style="1"/>
    <col min="11766" max="11766" width="4.5546875" style="1" customWidth="1"/>
    <col min="11767" max="11767" width="52.5546875" style="1" customWidth="1"/>
    <col min="11768" max="11768" width="2.88671875" style="1" customWidth="1"/>
    <col min="11769" max="11769" width="8.109375" style="1" customWidth="1"/>
    <col min="11770" max="11770" width="12.5546875" style="1" customWidth="1"/>
    <col min="11771" max="11771" width="9.109375" style="1" customWidth="1"/>
    <col min="11772" max="12021" width="9.109375" style="1"/>
    <col min="12022" max="12022" width="4.5546875" style="1" customWidth="1"/>
    <col min="12023" max="12023" width="52.5546875" style="1" customWidth="1"/>
    <col min="12024" max="12024" width="2.88671875" style="1" customWidth="1"/>
    <col min="12025" max="12025" width="8.109375" style="1" customWidth="1"/>
    <col min="12026" max="12026" width="12.5546875" style="1" customWidth="1"/>
    <col min="12027" max="12027" width="9.109375" style="1" customWidth="1"/>
    <col min="12028" max="12277" width="9.109375" style="1"/>
    <col min="12278" max="12278" width="4.5546875" style="1" customWidth="1"/>
    <col min="12279" max="12279" width="52.5546875" style="1" customWidth="1"/>
    <col min="12280" max="12280" width="2.88671875" style="1" customWidth="1"/>
    <col min="12281" max="12281" width="8.109375" style="1" customWidth="1"/>
    <col min="12282" max="12282" width="12.5546875" style="1" customWidth="1"/>
    <col min="12283" max="12283" width="9.109375" style="1" customWidth="1"/>
    <col min="12284" max="12533" width="9.109375" style="1"/>
    <col min="12534" max="12534" width="4.5546875" style="1" customWidth="1"/>
    <col min="12535" max="12535" width="52.5546875" style="1" customWidth="1"/>
    <col min="12536" max="12536" width="2.88671875" style="1" customWidth="1"/>
    <col min="12537" max="12537" width="8.109375" style="1" customWidth="1"/>
    <col min="12538" max="12538" width="12.5546875" style="1" customWidth="1"/>
    <col min="12539" max="12539" width="9.109375" style="1" customWidth="1"/>
    <col min="12540" max="12789" width="9.109375" style="1"/>
    <col min="12790" max="12790" width="4.5546875" style="1" customWidth="1"/>
    <col min="12791" max="12791" width="52.5546875" style="1" customWidth="1"/>
    <col min="12792" max="12792" width="2.88671875" style="1" customWidth="1"/>
    <col min="12793" max="12793" width="8.109375" style="1" customWidth="1"/>
    <col min="12794" max="12794" width="12.5546875" style="1" customWidth="1"/>
    <col min="12795" max="12795" width="9.109375" style="1" customWidth="1"/>
    <col min="12796" max="13045" width="9.109375" style="1"/>
    <col min="13046" max="13046" width="4.5546875" style="1" customWidth="1"/>
    <col min="13047" max="13047" width="52.5546875" style="1" customWidth="1"/>
    <col min="13048" max="13048" width="2.88671875" style="1" customWidth="1"/>
    <col min="13049" max="13049" width="8.109375" style="1" customWidth="1"/>
    <col min="13050" max="13050" width="12.5546875" style="1" customWidth="1"/>
    <col min="13051" max="13051" width="9.109375" style="1" customWidth="1"/>
    <col min="13052" max="13301" width="9.109375" style="1"/>
    <col min="13302" max="13302" width="4.5546875" style="1" customWidth="1"/>
    <col min="13303" max="13303" width="52.5546875" style="1" customWidth="1"/>
    <col min="13304" max="13304" width="2.88671875" style="1" customWidth="1"/>
    <col min="13305" max="13305" width="8.109375" style="1" customWidth="1"/>
    <col min="13306" max="13306" width="12.5546875" style="1" customWidth="1"/>
    <col min="13307" max="13307" width="9.109375" style="1" customWidth="1"/>
    <col min="13308" max="13557" width="9.109375" style="1"/>
    <col min="13558" max="13558" width="4.5546875" style="1" customWidth="1"/>
    <col min="13559" max="13559" width="52.5546875" style="1" customWidth="1"/>
    <col min="13560" max="13560" width="2.88671875" style="1" customWidth="1"/>
    <col min="13561" max="13561" width="8.109375" style="1" customWidth="1"/>
    <col min="13562" max="13562" width="12.5546875" style="1" customWidth="1"/>
    <col min="13563" max="13563" width="9.109375" style="1" customWidth="1"/>
    <col min="13564" max="13813" width="9.109375" style="1"/>
    <col min="13814" max="13814" width="4.5546875" style="1" customWidth="1"/>
    <col min="13815" max="13815" width="52.5546875" style="1" customWidth="1"/>
    <col min="13816" max="13816" width="2.88671875" style="1" customWidth="1"/>
    <col min="13817" max="13817" width="8.109375" style="1" customWidth="1"/>
    <col min="13818" max="13818" width="12.5546875" style="1" customWidth="1"/>
    <col min="13819" max="13819" width="9.109375" style="1" customWidth="1"/>
    <col min="13820" max="14069" width="9.109375" style="1"/>
    <col min="14070" max="14070" width="4.5546875" style="1" customWidth="1"/>
    <col min="14071" max="14071" width="52.5546875" style="1" customWidth="1"/>
    <col min="14072" max="14072" width="2.88671875" style="1" customWidth="1"/>
    <col min="14073" max="14073" width="8.109375" style="1" customWidth="1"/>
    <col min="14074" max="14074" width="12.5546875" style="1" customWidth="1"/>
    <col min="14075" max="14075" width="9.109375" style="1" customWidth="1"/>
    <col min="14076" max="14325" width="9.109375" style="1"/>
    <col min="14326" max="14326" width="4.5546875" style="1" customWidth="1"/>
    <col min="14327" max="14327" width="52.5546875" style="1" customWidth="1"/>
    <col min="14328" max="14328" width="2.88671875" style="1" customWidth="1"/>
    <col min="14329" max="14329" width="8.109375" style="1" customWidth="1"/>
    <col min="14330" max="14330" width="12.5546875" style="1" customWidth="1"/>
    <col min="14331" max="14331" width="9.109375" style="1" customWidth="1"/>
    <col min="14332" max="14581" width="9.109375" style="1"/>
    <col min="14582" max="14582" width="4.5546875" style="1" customWidth="1"/>
    <col min="14583" max="14583" width="52.5546875" style="1" customWidth="1"/>
    <col min="14584" max="14584" width="2.88671875" style="1" customWidth="1"/>
    <col min="14585" max="14585" width="8.109375" style="1" customWidth="1"/>
    <col min="14586" max="14586" width="12.5546875" style="1" customWidth="1"/>
    <col min="14587" max="14587" width="9.109375" style="1" customWidth="1"/>
    <col min="14588" max="14837" width="9.109375" style="1"/>
    <col min="14838" max="14838" width="4.5546875" style="1" customWidth="1"/>
    <col min="14839" max="14839" width="52.5546875" style="1" customWidth="1"/>
    <col min="14840" max="14840" width="2.88671875" style="1" customWidth="1"/>
    <col min="14841" max="14841" width="8.109375" style="1" customWidth="1"/>
    <col min="14842" max="14842" width="12.5546875" style="1" customWidth="1"/>
    <col min="14843" max="14843" width="9.109375" style="1" customWidth="1"/>
    <col min="14844" max="15093" width="9.109375" style="1"/>
    <col min="15094" max="15094" width="4.5546875" style="1" customWidth="1"/>
    <col min="15095" max="15095" width="52.5546875" style="1" customWidth="1"/>
    <col min="15096" max="15096" width="2.88671875" style="1" customWidth="1"/>
    <col min="15097" max="15097" width="8.109375" style="1" customWidth="1"/>
    <col min="15098" max="15098" width="12.5546875" style="1" customWidth="1"/>
    <col min="15099" max="15099" width="9.109375" style="1" customWidth="1"/>
    <col min="15100" max="15349" width="9.109375" style="1"/>
    <col min="15350" max="15350" width="4.5546875" style="1" customWidth="1"/>
    <col min="15351" max="15351" width="52.5546875" style="1" customWidth="1"/>
    <col min="15352" max="15352" width="2.88671875" style="1" customWidth="1"/>
    <col min="15353" max="15353" width="8.109375" style="1" customWidth="1"/>
    <col min="15354" max="15354" width="12.5546875" style="1" customWidth="1"/>
    <col min="15355" max="15355" width="9.109375" style="1" customWidth="1"/>
    <col min="15356" max="15605" width="9.109375" style="1"/>
    <col min="15606" max="15606" width="4.5546875" style="1" customWidth="1"/>
    <col min="15607" max="15607" width="52.5546875" style="1" customWidth="1"/>
    <col min="15608" max="15608" width="2.88671875" style="1" customWidth="1"/>
    <col min="15609" max="15609" width="8.109375" style="1" customWidth="1"/>
    <col min="15610" max="15610" width="12.5546875" style="1" customWidth="1"/>
    <col min="15611" max="15611" width="9.109375" style="1" customWidth="1"/>
    <col min="15612" max="15861" width="9.109375" style="1"/>
    <col min="15862" max="15862" width="4.5546875" style="1" customWidth="1"/>
    <col min="15863" max="15863" width="52.5546875" style="1" customWidth="1"/>
    <col min="15864" max="15864" width="2.88671875" style="1" customWidth="1"/>
    <col min="15865" max="15865" width="8.109375" style="1" customWidth="1"/>
    <col min="15866" max="15866" width="12.5546875" style="1" customWidth="1"/>
    <col min="15867" max="15867" width="9.109375" style="1" customWidth="1"/>
    <col min="15868" max="16117" width="9.109375" style="1"/>
    <col min="16118" max="16118" width="4.5546875" style="1" customWidth="1"/>
    <col min="16119" max="16119" width="52.5546875" style="1" customWidth="1"/>
    <col min="16120" max="16120" width="2.88671875" style="1" customWidth="1"/>
    <col min="16121" max="16121" width="8.109375" style="1" customWidth="1"/>
    <col min="16122" max="16122" width="12.5546875" style="1" customWidth="1"/>
    <col min="16123" max="16123" width="9.109375" style="1" customWidth="1"/>
    <col min="16124" max="16384" width="9.109375" style="1"/>
  </cols>
  <sheetData>
    <row r="1" spans="1:6" x14ac:dyDescent="0.3">
      <c r="A1" s="235" t="s">
        <v>351</v>
      </c>
      <c r="B1" s="235"/>
      <c r="C1" s="235"/>
      <c r="D1" s="235"/>
      <c r="E1" s="235"/>
      <c r="F1" s="235"/>
    </row>
    <row r="2" spans="1:6" x14ac:dyDescent="0.3">
      <c r="A2" s="8"/>
      <c r="B2" s="8"/>
      <c r="C2" s="8"/>
      <c r="D2" s="9"/>
      <c r="E2" s="10"/>
      <c r="F2" s="121"/>
    </row>
    <row r="3" spans="1:6" s="2" customFormat="1" x14ac:dyDescent="0.3">
      <c r="A3" s="11" t="s">
        <v>5</v>
      </c>
      <c r="B3" s="12" t="s">
        <v>0</v>
      </c>
      <c r="C3" s="13" t="s">
        <v>6</v>
      </c>
      <c r="D3" s="13" t="s">
        <v>3</v>
      </c>
      <c r="E3" s="13" t="s">
        <v>259</v>
      </c>
      <c r="F3" s="122" t="s">
        <v>353</v>
      </c>
    </row>
    <row r="4" spans="1:6" s="2" customFormat="1" x14ac:dyDescent="0.3">
      <c r="A4" s="14" t="s">
        <v>161</v>
      </c>
      <c r="B4" s="236" t="s">
        <v>11</v>
      </c>
      <c r="C4" s="237"/>
      <c r="D4" s="237"/>
      <c r="E4" s="237"/>
      <c r="F4" s="238"/>
    </row>
    <row r="5" spans="1:6" s="2" customFormat="1" x14ac:dyDescent="0.25">
      <c r="A5" s="15" t="s">
        <v>163</v>
      </c>
      <c r="B5" s="15" t="s">
        <v>164</v>
      </c>
      <c r="C5" s="16" t="s">
        <v>4</v>
      </c>
      <c r="D5" s="16">
        <v>1</v>
      </c>
      <c r="E5" s="17">
        <f>BPU!D5</f>
        <v>0</v>
      </c>
      <c r="F5" s="65">
        <f t="shared" ref="F5" si="0">+E5*D5</f>
        <v>0</v>
      </c>
    </row>
    <row r="6" spans="1:6" s="2" customFormat="1" ht="15.75" customHeight="1" x14ac:dyDescent="0.25">
      <c r="A6" s="239" t="s">
        <v>74</v>
      </c>
      <c r="B6" s="240"/>
      <c r="C6" s="19"/>
      <c r="D6" s="19"/>
      <c r="E6" s="20"/>
      <c r="F6" s="38">
        <f>SUM(F5:F5)</f>
        <v>0</v>
      </c>
    </row>
    <row r="7" spans="1:6" s="2" customFormat="1" ht="15.75" customHeight="1" x14ac:dyDescent="0.25">
      <c r="A7" s="115" t="s">
        <v>314</v>
      </c>
      <c r="B7" s="112" t="s">
        <v>336</v>
      </c>
      <c r="C7" s="113"/>
      <c r="D7" s="113"/>
      <c r="E7" s="114"/>
      <c r="F7" s="68"/>
    </row>
    <row r="8" spans="1:6" x14ac:dyDescent="0.3">
      <c r="A8" s="14" t="s">
        <v>204</v>
      </c>
      <c r="B8" s="14" t="s">
        <v>108</v>
      </c>
      <c r="C8" s="21"/>
      <c r="D8" s="22"/>
      <c r="E8" s="23"/>
      <c r="F8" s="65"/>
    </row>
    <row r="9" spans="1:6" x14ac:dyDescent="0.25">
      <c r="A9" s="15" t="s">
        <v>315</v>
      </c>
      <c r="B9" s="18" t="s">
        <v>304</v>
      </c>
      <c r="C9" s="21" t="s">
        <v>1</v>
      </c>
      <c r="D9" s="22">
        <f>15*25</f>
        <v>375</v>
      </c>
      <c r="E9" s="32">
        <f>BPU!D9</f>
        <v>0</v>
      </c>
      <c r="F9" s="65">
        <f>+E9*D9</f>
        <v>0</v>
      </c>
    </row>
    <row r="10" spans="1:6" x14ac:dyDescent="0.25">
      <c r="A10" s="15" t="s">
        <v>316</v>
      </c>
      <c r="B10" s="18" t="s">
        <v>318</v>
      </c>
      <c r="C10" s="21" t="s">
        <v>1</v>
      </c>
      <c r="D10" s="22">
        <f>10*7</f>
        <v>70</v>
      </c>
      <c r="E10" s="32">
        <f>BPU!D11</f>
        <v>0</v>
      </c>
      <c r="F10" s="65">
        <f t="shared" ref="F10:F11" si="1">+E10*D10</f>
        <v>0</v>
      </c>
    </row>
    <row r="11" spans="1:6" x14ac:dyDescent="0.25">
      <c r="A11" s="15" t="s">
        <v>317</v>
      </c>
      <c r="B11" s="18" t="s">
        <v>378</v>
      </c>
      <c r="C11" s="21" t="s">
        <v>1</v>
      </c>
      <c r="D11" s="22">
        <f>0.8*106.45</f>
        <v>85.160000000000011</v>
      </c>
      <c r="E11" s="32">
        <f>+BPU!D10</f>
        <v>0</v>
      </c>
      <c r="F11" s="65">
        <f t="shared" si="1"/>
        <v>0</v>
      </c>
    </row>
    <row r="12" spans="1:6" ht="15.75" customHeight="1" x14ac:dyDescent="0.25">
      <c r="A12" s="239" t="s">
        <v>75</v>
      </c>
      <c r="B12" s="240"/>
      <c r="C12" s="19"/>
      <c r="D12" s="19"/>
      <c r="E12" s="20"/>
      <c r="F12" s="38">
        <f>SUM(F9:F11)</f>
        <v>0</v>
      </c>
    </row>
    <row r="13" spans="1:6" ht="15.75" customHeight="1" x14ac:dyDescent="0.25">
      <c r="A13" s="115" t="s">
        <v>12</v>
      </c>
      <c r="B13" s="112" t="s">
        <v>13</v>
      </c>
      <c r="C13" s="113"/>
      <c r="D13" s="113"/>
      <c r="E13" s="114"/>
      <c r="F13" s="68"/>
    </row>
    <row r="14" spans="1:6" ht="15.75" customHeight="1" x14ac:dyDescent="0.25">
      <c r="A14" s="109" t="s">
        <v>67</v>
      </c>
      <c r="B14" s="112" t="s">
        <v>338</v>
      </c>
      <c r="C14" s="113"/>
      <c r="D14" s="113"/>
      <c r="E14" s="114"/>
      <c r="F14" s="68"/>
    </row>
    <row r="15" spans="1:6" ht="15.75" customHeight="1" x14ac:dyDescent="0.3">
      <c r="A15" s="15" t="s">
        <v>323</v>
      </c>
      <c r="B15" s="15" t="s">
        <v>289</v>
      </c>
      <c r="C15" s="21" t="s">
        <v>275</v>
      </c>
      <c r="D15" s="22">
        <f>+D9*0.07</f>
        <v>26.250000000000004</v>
      </c>
      <c r="E15" s="32">
        <f>BPU!D26</f>
        <v>0</v>
      </c>
      <c r="F15" s="65">
        <f>+E15*D15</f>
        <v>0</v>
      </c>
    </row>
    <row r="16" spans="1:6" ht="15.75" customHeight="1" x14ac:dyDescent="0.3">
      <c r="A16" s="15" t="s">
        <v>323</v>
      </c>
      <c r="B16" s="15" t="s">
        <v>290</v>
      </c>
      <c r="C16" s="21" t="s">
        <v>275</v>
      </c>
      <c r="D16" s="22">
        <f>+D11*0.07</f>
        <v>5.9612000000000016</v>
      </c>
      <c r="E16" s="32">
        <f>BPU!D27</f>
        <v>0</v>
      </c>
      <c r="F16" s="65">
        <f>+E16*D16</f>
        <v>0</v>
      </c>
    </row>
    <row r="17" spans="1:6" ht="15.75" customHeight="1" x14ac:dyDescent="0.25">
      <c r="A17" s="239" t="s">
        <v>75</v>
      </c>
      <c r="B17" s="240"/>
      <c r="C17" s="19"/>
      <c r="D17" s="19"/>
      <c r="E17" s="24"/>
      <c r="F17" s="38">
        <f>SUM(F15:F16)</f>
        <v>0</v>
      </c>
    </row>
    <row r="18" spans="1:6" x14ac:dyDescent="0.3">
      <c r="A18" s="14" t="s">
        <v>19</v>
      </c>
      <c r="B18" s="14" t="s">
        <v>26</v>
      </c>
      <c r="C18" s="21"/>
      <c r="D18" s="22"/>
      <c r="E18" s="172"/>
      <c r="F18" s="65"/>
    </row>
    <row r="19" spans="1:6" x14ac:dyDescent="0.3">
      <c r="A19" s="14" t="s">
        <v>22</v>
      </c>
      <c r="B19" s="14" t="s">
        <v>20</v>
      </c>
      <c r="C19" s="21"/>
      <c r="D19" s="22"/>
      <c r="E19" s="172"/>
      <c r="F19" s="65"/>
    </row>
    <row r="20" spans="1:6" x14ac:dyDescent="0.3">
      <c r="A20" s="15" t="s">
        <v>23</v>
      </c>
      <c r="B20" s="15" t="s">
        <v>21</v>
      </c>
      <c r="C20" s="21" t="s">
        <v>1</v>
      </c>
      <c r="D20" s="22">
        <f>10*10</f>
        <v>100</v>
      </c>
      <c r="E20" s="173">
        <f>BPU!D46</f>
        <v>0</v>
      </c>
      <c r="F20" s="65">
        <f>+E20*D20</f>
        <v>0</v>
      </c>
    </row>
    <row r="21" spans="1:6" x14ac:dyDescent="0.3">
      <c r="A21" s="15" t="s">
        <v>24</v>
      </c>
      <c r="B21" s="15" t="s">
        <v>190</v>
      </c>
      <c r="C21" s="21" t="s">
        <v>1</v>
      </c>
      <c r="D21" s="22">
        <v>100</v>
      </c>
      <c r="E21" s="173">
        <f>BPU!D47</f>
        <v>0</v>
      </c>
      <c r="F21" s="65">
        <f t="shared" ref="F21:F25" si="2">+E21*D21</f>
        <v>0</v>
      </c>
    </row>
    <row r="22" spans="1:6" ht="16.2" x14ac:dyDescent="0.3">
      <c r="A22" s="15" t="s">
        <v>206</v>
      </c>
      <c r="B22" s="15" t="s">
        <v>276</v>
      </c>
      <c r="C22" s="21" t="s">
        <v>2</v>
      </c>
      <c r="D22" s="22">
        <v>100</v>
      </c>
      <c r="E22" s="173">
        <f>BPU!D48</f>
        <v>0</v>
      </c>
      <c r="F22" s="65">
        <f t="shared" si="2"/>
        <v>0</v>
      </c>
    </row>
    <row r="23" spans="1:6" x14ac:dyDescent="0.3">
      <c r="A23" s="14" t="s">
        <v>25</v>
      </c>
      <c r="B23" s="14" t="s">
        <v>27</v>
      </c>
      <c r="C23" s="21"/>
      <c r="D23" s="22"/>
      <c r="E23" s="172"/>
      <c r="F23" s="65">
        <f t="shared" si="2"/>
        <v>0</v>
      </c>
    </row>
    <row r="24" spans="1:6" ht="16.2" x14ac:dyDescent="0.3">
      <c r="A24" s="15" t="s">
        <v>28</v>
      </c>
      <c r="B24" s="15" t="s">
        <v>277</v>
      </c>
      <c r="C24" s="21" t="s">
        <v>1</v>
      </c>
      <c r="D24" s="22">
        <v>263.68</v>
      </c>
      <c r="E24" s="32">
        <f>BPU!D51</f>
        <v>0</v>
      </c>
      <c r="F24" s="65">
        <f t="shared" si="2"/>
        <v>0</v>
      </c>
    </row>
    <row r="25" spans="1:6" ht="16.2" x14ac:dyDescent="0.3">
      <c r="A25" s="15" t="s">
        <v>29</v>
      </c>
      <c r="B25" s="15" t="s">
        <v>278</v>
      </c>
      <c r="C25" s="21" t="s">
        <v>279</v>
      </c>
      <c r="D25" s="22">
        <f>80*1</f>
        <v>80</v>
      </c>
      <c r="E25" s="32">
        <f>BPU!D52</f>
        <v>0</v>
      </c>
      <c r="F25" s="65">
        <f t="shared" si="2"/>
        <v>0</v>
      </c>
    </row>
    <row r="26" spans="1:6" ht="15.75" customHeight="1" x14ac:dyDescent="0.25">
      <c r="A26" s="239" t="s">
        <v>75</v>
      </c>
      <c r="B26" s="240"/>
      <c r="C26" s="19"/>
      <c r="D26" s="19"/>
      <c r="E26" s="26"/>
      <c r="F26" s="38">
        <f>SUM(F20:F25)</f>
        <v>0</v>
      </c>
    </row>
    <row r="27" spans="1:6" x14ac:dyDescent="0.3">
      <c r="A27" s="14" t="s">
        <v>207</v>
      </c>
      <c r="B27" s="27" t="s">
        <v>62</v>
      </c>
      <c r="C27" s="21"/>
      <c r="D27" s="22"/>
      <c r="E27" s="25"/>
      <c r="F27" s="65"/>
    </row>
    <row r="28" spans="1:6" x14ac:dyDescent="0.3">
      <c r="A28" s="15" t="s">
        <v>65</v>
      </c>
      <c r="B28" s="28" t="s">
        <v>63</v>
      </c>
      <c r="C28" s="21" t="s">
        <v>2</v>
      </c>
      <c r="D28" s="22">
        <v>35</v>
      </c>
      <c r="E28" s="25">
        <f>BPU!D100</f>
        <v>0</v>
      </c>
      <c r="F28" s="65">
        <f>+E28*D28</f>
        <v>0</v>
      </c>
    </row>
    <row r="29" spans="1:6" x14ac:dyDescent="0.3">
      <c r="A29" s="15" t="s">
        <v>66</v>
      </c>
      <c r="B29" s="28" t="s">
        <v>64</v>
      </c>
      <c r="C29" s="21" t="s">
        <v>8</v>
      </c>
      <c r="D29" s="22">
        <v>1</v>
      </c>
      <c r="E29" s="25">
        <f>BPU!D101</f>
        <v>0</v>
      </c>
      <c r="F29" s="65">
        <f>+E29*D29</f>
        <v>0</v>
      </c>
    </row>
    <row r="30" spans="1:6" ht="15.75" customHeight="1" x14ac:dyDescent="0.25">
      <c r="A30" s="239" t="s">
        <v>77</v>
      </c>
      <c r="B30" s="240"/>
      <c r="C30" s="19"/>
      <c r="D30" s="19"/>
      <c r="E30" s="26"/>
      <c r="F30" s="38">
        <f>SUM(F28:F29)</f>
        <v>0</v>
      </c>
    </row>
    <row r="31" spans="1:6" x14ac:dyDescent="0.25">
      <c r="A31" s="29" t="s">
        <v>40</v>
      </c>
      <c r="B31" s="29" t="s">
        <v>39</v>
      </c>
      <c r="C31" s="30"/>
      <c r="D31" s="31"/>
      <c r="E31" s="32"/>
      <c r="F31" s="65"/>
    </row>
    <row r="32" spans="1:6" x14ac:dyDescent="0.25">
      <c r="A32" s="29" t="s">
        <v>208</v>
      </c>
      <c r="B32" s="27" t="s">
        <v>45</v>
      </c>
      <c r="C32" s="30"/>
      <c r="D32" s="31"/>
      <c r="E32" s="32"/>
      <c r="F32" s="65"/>
    </row>
    <row r="33" spans="1:6" x14ac:dyDescent="0.25">
      <c r="A33" s="33" t="s">
        <v>209</v>
      </c>
      <c r="B33" s="34" t="s">
        <v>339</v>
      </c>
      <c r="C33" s="16" t="s">
        <v>196</v>
      </c>
      <c r="D33" s="31">
        <v>0</v>
      </c>
      <c r="E33" s="32">
        <f>BPU!D78</f>
        <v>0</v>
      </c>
      <c r="F33" s="65">
        <f>+E33*D33</f>
        <v>0</v>
      </c>
    </row>
    <row r="34" spans="1:6" x14ac:dyDescent="0.25">
      <c r="A34" s="33" t="s">
        <v>210</v>
      </c>
      <c r="B34" s="34" t="s">
        <v>195</v>
      </c>
      <c r="C34" s="16" t="s">
        <v>196</v>
      </c>
      <c r="D34" s="31">
        <v>3</v>
      </c>
      <c r="E34" s="32">
        <f>BPU!D79</f>
        <v>0</v>
      </c>
      <c r="F34" s="65">
        <f t="shared" ref="F34:F43" si="3">+E34*D34</f>
        <v>0</v>
      </c>
    </row>
    <row r="35" spans="1:6" ht="24" customHeight="1" x14ac:dyDescent="0.25">
      <c r="A35" s="33" t="s">
        <v>211</v>
      </c>
      <c r="B35" s="36" t="s">
        <v>379</v>
      </c>
      <c r="C35" s="16" t="s">
        <v>9</v>
      </c>
      <c r="D35" s="31">
        <v>1</v>
      </c>
      <c r="E35" s="32">
        <f>BPU!D80</f>
        <v>0</v>
      </c>
      <c r="F35" s="65">
        <f t="shared" si="3"/>
        <v>0</v>
      </c>
    </row>
    <row r="36" spans="1:6" x14ac:dyDescent="0.25">
      <c r="A36" s="33" t="s">
        <v>212</v>
      </c>
      <c r="B36" s="35" t="str">
        <f>BPU!B82</f>
        <v xml:space="preserve">Prises de courant encastrées </v>
      </c>
      <c r="C36" s="16" t="s">
        <v>8</v>
      </c>
      <c r="D36" s="31">
        <v>10</v>
      </c>
      <c r="E36" s="32">
        <f>BPU!D82</f>
        <v>0</v>
      </c>
      <c r="F36" s="65">
        <f t="shared" si="3"/>
        <v>0</v>
      </c>
    </row>
    <row r="37" spans="1:6" x14ac:dyDescent="0.25">
      <c r="A37" s="33" t="s">
        <v>212</v>
      </c>
      <c r="B37" s="34" t="s">
        <v>291</v>
      </c>
      <c r="C37" s="16" t="s">
        <v>8</v>
      </c>
      <c r="D37" s="31">
        <v>10</v>
      </c>
      <c r="E37" s="193"/>
      <c r="F37" s="65">
        <f t="shared" si="3"/>
        <v>0</v>
      </c>
    </row>
    <row r="38" spans="1:6" x14ac:dyDescent="0.25">
      <c r="A38" s="33" t="s">
        <v>380</v>
      </c>
      <c r="B38" s="34" t="s">
        <v>197</v>
      </c>
      <c r="C38" s="16" t="s">
        <v>2</v>
      </c>
      <c r="D38" s="31">
        <v>100</v>
      </c>
      <c r="E38" s="32">
        <f>BPU!D84</f>
        <v>0</v>
      </c>
      <c r="F38" s="65">
        <f t="shared" si="3"/>
        <v>0</v>
      </c>
    </row>
    <row r="39" spans="1:6" x14ac:dyDescent="0.25">
      <c r="A39" s="29" t="s">
        <v>217</v>
      </c>
      <c r="B39" s="27" t="s">
        <v>46</v>
      </c>
      <c r="C39" s="16"/>
      <c r="D39" s="31"/>
      <c r="E39" s="32"/>
      <c r="F39" s="65"/>
    </row>
    <row r="40" spans="1:6" x14ac:dyDescent="0.25">
      <c r="A40" s="33" t="s">
        <v>216</v>
      </c>
      <c r="B40" s="35" t="s">
        <v>101</v>
      </c>
      <c r="C40" s="16" t="s">
        <v>8</v>
      </c>
      <c r="D40" s="31">
        <v>15</v>
      </c>
      <c r="E40" s="32">
        <f>BPU!D86</f>
        <v>0</v>
      </c>
      <c r="F40" s="65">
        <f t="shared" si="3"/>
        <v>0</v>
      </c>
    </row>
    <row r="41" spans="1:6" x14ac:dyDescent="0.25">
      <c r="A41" s="29" t="s">
        <v>215</v>
      </c>
      <c r="B41" s="27" t="s">
        <v>47</v>
      </c>
      <c r="C41" s="16"/>
      <c r="D41" s="31"/>
      <c r="E41" s="32"/>
      <c r="F41" s="65"/>
    </row>
    <row r="42" spans="1:6" ht="27" customHeight="1" x14ac:dyDescent="0.25">
      <c r="A42" s="33" t="s">
        <v>214</v>
      </c>
      <c r="B42" s="36" t="s">
        <v>48</v>
      </c>
      <c r="C42" s="16" t="s">
        <v>8</v>
      </c>
      <c r="D42" s="31">
        <v>1</v>
      </c>
      <c r="E42" s="32">
        <f>BPU!D88</f>
        <v>0</v>
      </c>
      <c r="F42" s="65">
        <f t="shared" si="3"/>
        <v>0</v>
      </c>
    </row>
    <row r="43" spans="1:6" x14ac:dyDescent="0.25">
      <c r="A43" s="33" t="s">
        <v>213</v>
      </c>
      <c r="B43" s="34" t="s">
        <v>103</v>
      </c>
      <c r="C43" s="16" t="s">
        <v>73</v>
      </c>
      <c r="D43" s="31">
        <v>1</v>
      </c>
      <c r="E43" s="32">
        <f>BPU!D89</f>
        <v>0</v>
      </c>
      <c r="F43" s="65">
        <f t="shared" si="3"/>
        <v>0</v>
      </c>
    </row>
    <row r="44" spans="1:6" ht="15.75" customHeight="1" x14ac:dyDescent="0.25">
      <c r="A44" s="239" t="s">
        <v>75</v>
      </c>
      <c r="B44" s="240"/>
      <c r="C44" s="19"/>
      <c r="D44" s="19"/>
      <c r="E44" s="26"/>
      <c r="F44" s="38">
        <f>SUM(F33:F43)</f>
        <v>0</v>
      </c>
    </row>
    <row r="45" spans="1:6" x14ac:dyDescent="0.3">
      <c r="A45" s="14" t="s">
        <v>38</v>
      </c>
      <c r="B45" s="14" t="s">
        <v>37</v>
      </c>
      <c r="C45" s="21"/>
      <c r="D45" s="22"/>
      <c r="E45" s="25"/>
      <c r="F45" s="65"/>
    </row>
    <row r="46" spans="1:6" x14ac:dyDescent="0.3">
      <c r="A46" s="15" t="s">
        <v>179</v>
      </c>
      <c r="B46" s="15" t="s">
        <v>107</v>
      </c>
      <c r="C46" s="21" t="s">
        <v>1</v>
      </c>
      <c r="D46" s="22">
        <f>70*5</f>
        <v>350</v>
      </c>
      <c r="E46" s="25">
        <f>BPU!D74</f>
        <v>0</v>
      </c>
      <c r="F46" s="65">
        <f>+E46*D46</f>
        <v>0</v>
      </c>
    </row>
    <row r="47" spans="1:6" x14ac:dyDescent="0.3">
      <c r="A47" s="15" t="s">
        <v>179</v>
      </c>
      <c r="B47" s="15" t="s">
        <v>247</v>
      </c>
      <c r="C47" s="21" t="s">
        <v>1</v>
      </c>
      <c r="D47" s="22">
        <f>70*2</f>
        <v>140</v>
      </c>
      <c r="E47" s="25">
        <f>BPU!D74</f>
        <v>0</v>
      </c>
      <c r="F47" s="65">
        <f t="shared" ref="F47:F48" si="4">+E47*D47</f>
        <v>0</v>
      </c>
    </row>
    <row r="48" spans="1:6" ht="27.6" x14ac:dyDescent="0.3">
      <c r="A48" s="15" t="s">
        <v>340</v>
      </c>
      <c r="B48" s="15" t="s">
        <v>200</v>
      </c>
      <c r="C48" s="21" t="s">
        <v>1</v>
      </c>
      <c r="D48" s="22">
        <f>(30*2.5)+50</f>
        <v>125</v>
      </c>
      <c r="E48" s="25">
        <f>BPU!D75</f>
        <v>0</v>
      </c>
      <c r="F48" s="65">
        <f t="shared" si="4"/>
        <v>0</v>
      </c>
    </row>
    <row r="49" spans="1:6" ht="15.75" customHeight="1" x14ac:dyDescent="0.25">
      <c r="A49" s="239" t="s">
        <v>98</v>
      </c>
      <c r="B49" s="240"/>
      <c r="C49" s="19"/>
      <c r="D49" s="19"/>
      <c r="E49" s="24"/>
      <c r="F49" s="38">
        <f>SUM(F46:F48)</f>
        <v>0</v>
      </c>
    </row>
    <row r="50" spans="1:6" x14ac:dyDescent="0.25">
      <c r="A50" s="241" t="s">
        <v>280</v>
      </c>
      <c r="B50" s="242"/>
      <c r="C50" s="242"/>
      <c r="D50" s="242"/>
      <c r="E50" s="243"/>
      <c r="F50" s="265">
        <f>+F49+F44+F30+F26+F17+F12+F6</f>
        <v>0</v>
      </c>
    </row>
    <row r="51" spans="1:6" x14ac:dyDescent="0.3">
      <c r="A51" s="1"/>
      <c r="B51" s="1"/>
      <c r="D51" s="1"/>
      <c r="E51" s="6"/>
      <c r="F51" s="123"/>
    </row>
    <row r="52" spans="1:6" x14ac:dyDescent="0.3">
      <c r="A52" s="1"/>
      <c r="B52" s="1"/>
      <c r="D52" s="1"/>
      <c r="E52" s="6"/>
      <c r="F52" s="123"/>
    </row>
    <row r="53" spans="1:6" x14ac:dyDescent="0.3">
      <c r="A53" s="1"/>
      <c r="B53" s="1"/>
      <c r="D53" s="1"/>
      <c r="E53" s="6"/>
      <c r="F53" s="123"/>
    </row>
    <row r="54" spans="1:6" x14ac:dyDescent="0.3">
      <c r="A54" s="1"/>
      <c r="B54" s="1"/>
      <c r="D54" s="1"/>
      <c r="E54" s="6"/>
      <c r="F54" s="123"/>
    </row>
    <row r="55" spans="1:6" x14ac:dyDescent="0.3">
      <c r="A55" s="1"/>
      <c r="B55" s="1"/>
      <c r="D55" s="1"/>
      <c r="E55" s="6"/>
      <c r="F55" s="123"/>
    </row>
    <row r="56" spans="1:6" x14ac:dyDescent="0.3">
      <c r="A56" s="1"/>
      <c r="B56" s="1"/>
      <c r="D56" s="1"/>
      <c r="E56" s="6"/>
      <c r="F56" s="123"/>
    </row>
    <row r="57" spans="1:6" x14ac:dyDescent="0.3">
      <c r="A57" s="1"/>
      <c r="B57" s="1"/>
      <c r="D57" s="1"/>
      <c r="E57" s="6"/>
      <c r="F57" s="123"/>
    </row>
    <row r="58" spans="1:6" x14ac:dyDescent="0.3">
      <c r="A58" s="1"/>
      <c r="B58" s="1"/>
      <c r="D58" s="1"/>
      <c r="E58" s="6"/>
      <c r="F58" s="123"/>
    </row>
    <row r="59" spans="1:6" x14ac:dyDescent="0.3">
      <c r="A59" s="1"/>
      <c r="B59" s="1"/>
      <c r="D59" s="1"/>
      <c r="E59" s="6"/>
      <c r="F59" s="123"/>
    </row>
    <row r="60" spans="1:6" x14ac:dyDescent="0.3">
      <c r="A60" s="1"/>
      <c r="B60" s="1"/>
      <c r="D60" s="1"/>
      <c r="E60" s="6"/>
      <c r="F60" s="123"/>
    </row>
    <row r="61" spans="1:6" x14ac:dyDescent="0.3">
      <c r="A61" s="1"/>
      <c r="B61" s="1"/>
      <c r="D61" s="1"/>
      <c r="E61" s="6"/>
      <c r="F61" s="123"/>
    </row>
    <row r="62" spans="1:6" x14ac:dyDescent="0.3">
      <c r="A62" s="1"/>
      <c r="B62" s="1"/>
      <c r="D62" s="1"/>
      <c r="E62" s="6"/>
      <c r="F62" s="123"/>
    </row>
    <row r="63" spans="1:6" x14ac:dyDescent="0.3">
      <c r="A63" s="1"/>
      <c r="B63" s="1"/>
      <c r="D63" s="1"/>
      <c r="E63" s="6"/>
      <c r="F63" s="123"/>
    </row>
    <row r="64" spans="1:6" x14ac:dyDescent="0.3">
      <c r="A64" s="1"/>
      <c r="B64" s="1"/>
      <c r="D64" s="1"/>
      <c r="E64" s="6"/>
      <c r="F64" s="123"/>
    </row>
    <row r="65" spans="1:6" x14ac:dyDescent="0.3">
      <c r="A65" s="1"/>
      <c r="B65" s="1"/>
      <c r="D65" s="1"/>
      <c r="E65" s="6"/>
      <c r="F65" s="123"/>
    </row>
    <row r="66" spans="1:6" x14ac:dyDescent="0.3">
      <c r="A66" s="1"/>
      <c r="B66" s="1"/>
      <c r="D66" s="1"/>
      <c r="E66" s="6"/>
      <c r="F66" s="123"/>
    </row>
    <row r="67" spans="1:6" x14ac:dyDescent="0.3">
      <c r="A67" s="1"/>
      <c r="B67" s="1"/>
      <c r="D67" s="1"/>
      <c r="E67" s="6"/>
      <c r="F67" s="123"/>
    </row>
    <row r="68" spans="1:6" x14ac:dyDescent="0.3">
      <c r="A68" s="1"/>
      <c r="B68" s="1"/>
      <c r="D68" s="1"/>
      <c r="E68" s="6"/>
      <c r="F68" s="123"/>
    </row>
    <row r="69" spans="1:6" x14ac:dyDescent="0.3">
      <c r="A69" s="1"/>
      <c r="B69" s="1"/>
      <c r="D69" s="1"/>
      <c r="E69" s="6"/>
      <c r="F69" s="123"/>
    </row>
    <row r="70" spans="1:6" x14ac:dyDescent="0.3">
      <c r="A70" s="1"/>
      <c r="B70" s="1"/>
      <c r="D70" s="1"/>
      <c r="E70" s="6"/>
      <c r="F70" s="123"/>
    </row>
    <row r="71" spans="1:6" x14ac:dyDescent="0.3">
      <c r="A71" s="1"/>
      <c r="B71" s="1"/>
      <c r="D71" s="1"/>
      <c r="E71" s="6"/>
      <c r="F71" s="123"/>
    </row>
    <row r="72" spans="1:6" x14ac:dyDescent="0.3">
      <c r="A72" s="1"/>
      <c r="B72" s="1"/>
      <c r="D72" s="1"/>
      <c r="E72" s="6"/>
      <c r="F72" s="123"/>
    </row>
    <row r="73" spans="1:6" x14ac:dyDescent="0.3">
      <c r="A73" s="1"/>
      <c r="B73" s="1"/>
      <c r="D73" s="1"/>
      <c r="E73" s="6"/>
      <c r="F73" s="123"/>
    </row>
    <row r="74" spans="1:6" x14ac:dyDescent="0.3">
      <c r="A74" s="1"/>
      <c r="B74" s="1"/>
      <c r="D74" s="1"/>
      <c r="E74" s="6"/>
      <c r="F74" s="123"/>
    </row>
    <row r="75" spans="1:6" x14ac:dyDescent="0.3">
      <c r="A75" s="1"/>
      <c r="B75" s="1"/>
      <c r="D75" s="1"/>
      <c r="E75" s="6"/>
      <c r="F75" s="123"/>
    </row>
    <row r="76" spans="1:6" x14ac:dyDescent="0.3">
      <c r="A76" s="1"/>
      <c r="B76" s="1"/>
      <c r="D76" s="1"/>
      <c r="E76" s="6"/>
      <c r="F76" s="123"/>
    </row>
    <row r="77" spans="1:6" x14ac:dyDescent="0.3">
      <c r="A77" s="1"/>
      <c r="B77" s="1"/>
      <c r="D77" s="1"/>
      <c r="E77" s="6"/>
      <c r="F77" s="123"/>
    </row>
    <row r="78" spans="1:6" x14ac:dyDescent="0.3">
      <c r="A78" s="1"/>
      <c r="B78" s="1"/>
      <c r="D78" s="1"/>
      <c r="E78" s="6"/>
      <c r="F78" s="123"/>
    </row>
    <row r="79" spans="1:6" x14ac:dyDescent="0.3">
      <c r="A79" s="1"/>
      <c r="B79" s="1"/>
      <c r="D79" s="1"/>
      <c r="E79" s="6"/>
      <c r="F79" s="123"/>
    </row>
    <row r="80" spans="1:6" x14ac:dyDescent="0.3">
      <c r="A80" s="1"/>
      <c r="B80" s="1"/>
      <c r="D80" s="1"/>
      <c r="E80" s="6"/>
      <c r="F80" s="123"/>
    </row>
    <row r="81" spans="1:6" x14ac:dyDescent="0.3">
      <c r="A81" s="1"/>
      <c r="B81" s="1"/>
      <c r="D81" s="1"/>
      <c r="E81" s="6"/>
      <c r="F81" s="123"/>
    </row>
    <row r="82" spans="1:6" x14ac:dyDescent="0.3">
      <c r="A82" s="1"/>
      <c r="B82" s="1"/>
      <c r="D82" s="1"/>
      <c r="E82" s="6"/>
      <c r="F82" s="123"/>
    </row>
    <row r="83" spans="1:6" x14ac:dyDescent="0.3">
      <c r="A83" s="1"/>
      <c r="B83" s="1"/>
      <c r="D83" s="1"/>
      <c r="E83" s="6"/>
      <c r="F83" s="123"/>
    </row>
    <row r="84" spans="1:6" x14ac:dyDescent="0.3">
      <c r="A84" s="1"/>
      <c r="B84" s="1"/>
      <c r="D84" s="1"/>
      <c r="E84" s="6"/>
      <c r="F84" s="123"/>
    </row>
    <row r="85" spans="1:6" x14ac:dyDescent="0.3">
      <c r="A85" s="1"/>
      <c r="B85" s="1"/>
      <c r="D85" s="1"/>
      <c r="E85" s="6"/>
      <c r="F85" s="123"/>
    </row>
    <row r="86" spans="1:6" x14ac:dyDescent="0.3">
      <c r="A86" s="1"/>
      <c r="B86" s="1"/>
      <c r="D86" s="1"/>
      <c r="E86" s="6"/>
      <c r="F86" s="123"/>
    </row>
    <row r="87" spans="1:6" x14ac:dyDescent="0.3">
      <c r="A87" s="1"/>
      <c r="B87" s="1"/>
      <c r="D87" s="1"/>
      <c r="E87" s="6"/>
      <c r="F87" s="123"/>
    </row>
    <row r="88" spans="1:6" x14ac:dyDescent="0.3">
      <c r="A88" s="1"/>
      <c r="B88" s="1"/>
      <c r="D88" s="1"/>
      <c r="E88" s="6"/>
      <c r="F88" s="123"/>
    </row>
    <row r="89" spans="1:6" x14ac:dyDescent="0.3">
      <c r="A89" s="1"/>
      <c r="B89" s="1"/>
      <c r="D89" s="1"/>
      <c r="E89" s="6"/>
      <c r="F89" s="123"/>
    </row>
    <row r="90" spans="1:6" x14ac:dyDescent="0.3">
      <c r="A90" s="1"/>
      <c r="B90" s="1"/>
      <c r="D90" s="1"/>
      <c r="E90" s="6"/>
      <c r="F90" s="123"/>
    </row>
    <row r="91" spans="1:6" x14ac:dyDescent="0.3">
      <c r="A91" s="1"/>
      <c r="B91" s="1"/>
      <c r="D91" s="1"/>
      <c r="E91" s="6"/>
      <c r="F91" s="123"/>
    </row>
  </sheetData>
  <mergeCells count="10">
    <mergeCell ref="A1:F1"/>
    <mergeCell ref="B4:F4"/>
    <mergeCell ref="A49:B49"/>
    <mergeCell ref="A50:E50"/>
    <mergeCell ref="A6:B6"/>
    <mergeCell ref="A12:B12"/>
    <mergeCell ref="A17:B17"/>
    <mergeCell ref="A26:B26"/>
    <mergeCell ref="A30:B30"/>
    <mergeCell ref="A44:B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0"/>
  <sheetViews>
    <sheetView topLeftCell="A97" workbookViewId="0">
      <selection activeCell="F115" sqref="F115"/>
    </sheetView>
  </sheetViews>
  <sheetFormatPr baseColWidth="10" defaultColWidth="9.109375" defaultRowHeight="13.8" x14ac:dyDescent="0.25"/>
  <cols>
    <col min="1" max="1" width="10.88671875" style="100" customWidth="1"/>
    <col min="2" max="2" width="44.5546875" style="100" customWidth="1"/>
    <col min="3" max="4" width="9.109375" style="100"/>
    <col min="5" max="5" width="15.88671875" style="191" customWidth="1"/>
    <col min="6" max="6" width="19.5546875" style="200" customWidth="1"/>
    <col min="7" max="16384" width="9.109375" style="100"/>
  </cols>
  <sheetData>
    <row r="1" spans="1:6" x14ac:dyDescent="0.25">
      <c r="A1" s="234" t="s">
        <v>292</v>
      </c>
      <c r="B1" s="234"/>
      <c r="C1" s="234"/>
      <c r="D1" s="234"/>
      <c r="E1" s="234"/>
      <c r="F1" s="234"/>
    </row>
    <row r="2" spans="1:6" x14ac:dyDescent="0.25">
      <c r="A2" s="41" t="s">
        <v>5</v>
      </c>
      <c r="B2" s="41" t="s">
        <v>157</v>
      </c>
      <c r="C2" s="42" t="s">
        <v>158</v>
      </c>
      <c r="D2" s="42" t="s">
        <v>3</v>
      </c>
      <c r="E2" s="13" t="s">
        <v>259</v>
      </c>
      <c r="F2" s="122" t="s">
        <v>358</v>
      </c>
    </row>
    <row r="3" spans="1:6" x14ac:dyDescent="0.25">
      <c r="A3" s="185" t="s">
        <v>161</v>
      </c>
      <c r="B3" s="43" t="s">
        <v>11</v>
      </c>
      <c r="C3" s="43"/>
      <c r="D3" s="43"/>
      <c r="E3" s="44"/>
      <c r="F3" s="125"/>
    </row>
    <row r="4" spans="1:6" x14ac:dyDescent="0.25">
      <c r="A4" s="15" t="s">
        <v>57</v>
      </c>
      <c r="B4" s="15" t="s">
        <v>162</v>
      </c>
      <c r="C4" s="16" t="s">
        <v>9</v>
      </c>
      <c r="D4" s="16">
        <v>1</v>
      </c>
      <c r="E4" s="32">
        <f>BPU!D4</f>
        <v>0</v>
      </c>
      <c r="F4" s="65">
        <f>+E4*D4</f>
        <v>0</v>
      </c>
    </row>
    <row r="5" spans="1:6" x14ac:dyDescent="0.25">
      <c r="A5" s="15" t="s">
        <v>163</v>
      </c>
      <c r="B5" s="15" t="s">
        <v>164</v>
      </c>
      <c r="C5" s="16" t="s">
        <v>9</v>
      </c>
      <c r="D5" s="16">
        <v>1</v>
      </c>
      <c r="E5" s="32">
        <f>BPU!D5</f>
        <v>0</v>
      </c>
      <c r="F5" s="65">
        <f t="shared" ref="F5:F6" si="0">+E5*D5</f>
        <v>0</v>
      </c>
    </row>
    <row r="6" spans="1:6" s="190" customFormat="1" x14ac:dyDescent="0.25">
      <c r="A6" s="15" t="s">
        <v>58</v>
      </c>
      <c r="B6" s="18" t="s">
        <v>104</v>
      </c>
      <c r="C6" s="16" t="s">
        <v>158</v>
      </c>
      <c r="D6" s="31">
        <v>1</v>
      </c>
      <c r="E6" s="32">
        <f>BPU!D6</f>
        <v>0</v>
      </c>
      <c r="F6" s="65">
        <f t="shared" si="0"/>
        <v>0</v>
      </c>
    </row>
    <row r="7" spans="1:6" x14ac:dyDescent="0.25">
      <c r="A7" s="244" t="s">
        <v>74</v>
      </c>
      <c r="B7" s="244"/>
      <c r="C7" s="45"/>
      <c r="D7" s="45"/>
      <c r="E7" s="46"/>
      <c r="F7" s="70">
        <f>SUM(F4:F6)</f>
        <v>0</v>
      </c>
    </row>
    <row r="8" spans="1:6" x14ac:dyDescent="0.25">
      <c r="A8" s="53" t="s">
        <v>314</v>
      </c>
      <c r="B8" s="53" t="s">
        <v>302</v>
      </c>
      <c r="C8" s="119"/>
      <c r="D8" s="119"/>
      <c r="E8" s="120"/>
      <c r="F8" s="68"/>
    </row>
    <row r="9" spans="1:6" ht="33.75" customHeight="1" x14ac:dyDescent="0.25">
      <c r="A9" s="40" t="s">
        <v>205</v>
      </c>
      <c r="B9" s="138" t="s">
        <v>86</v>
      </c>
      <c r="C9" s="136" t="s">
        <v>10</v>
      </c>
      <c r="D9" s="139">
        <f>187.2+48.48</f>
        <v>235.67999999999998</v>
      </c>
      <c r="E9" s="137">
        <f>BPU!D15</f>
        <v>0</v>
      </c>
      <c r="F9" s="165">
        <f>+E9*D9</f>
        <v>0</v>
      </c>
    </row>
    <row r="10" spans="1:6" x14ac:dyDescent="0.25">
      <c r="A10" s="138" t="s">
        <v>309</v>
      </c>
      <c r="B10" s="138" t="s">
        <v>319</v>
      </c>
      <c r="C10" s="136" t="s">
        <v>8</v>
      </c>
      <c r="D10" s="139">
        <v>2</v>
      </c>
      <c r="E10" s="137">
        <f>BPU!D16</f>
        <v>0</v>
      </c>
      <c r="F10" s="165">
        <f>+E10*D10</f>
        <v>0</v>
      </c>
    </row>
    <row r="11" spans="1:6" x14ac:dyDescent="0.25">
      <c r="A11" s="245" t="s">
        <v>75</v>
      </c>
      <c r="B11" s="245"/>
      <c r="C11" s="140"/>
      <c r="D11" s="140"/>
      <c r="E11" s="141"/>
      <c r="F11" s="174">
        <f>SUM(F9:F10)</f>
        <v>0</v>
      </c>
    </row>
    <row r="12" spans="1:6" x14ac:dyDescent="0.25">
      <c r="A12" s="132" t="s">
        <v>109</v>
      </c>
      <c r="B12" s="132" t="s">
        <v>110</v>
      </c>
      <c r="C12" s="147"/>
      <c r="D12" s="145"/>
      <c r="E12" s="148"/>
      <c r="F12" s="165"/>
    </row>
    <row r="13" spans="1:6" ht="16.2" x14ac:dyDescent="0.25">
      <c r="A13" s="135" t="s">
        <v>61</v>
      </c>
      <c r="B13" s="138" t="s">
        <v>182</v>
      </c>
      <c r="C13" s="136" t="s">
        <v>360</v>
      </c>
      <c r="D13" s="139">
        <f>+D9*0.3</f>
        <v>70.703999999999994</v>
      </c>
      <c r="E13" s="137">
        <f>BPU!D18</f>
        <v>0</v>
      </c>
      <c r="F13" s="165">
        <f>+E13*D13</f>
        <v>0</v>
      </c>
    </row>
    <row r="14" spans="1:6" ht="16.2" x14ac:dyDescent="0.25">
      <c r="A14" s="135" t="s">
        <v>72</v>
      </c>
      <c r="B14" s="138" t="s">
        <v>299</v>
      </c>
      <c r="C14" s="136" t="s">
        <v>360</v>
      </c>
      <c r="D14" s="139">
        <v>5</v>
      </c>
      <c r="E14" s="137">
        <f>BPU!D19</f>
        <v>0</v>
      </c>
      <c r="F14" s="165">
        <f>+E14*D14</f>
        <v>0</v>
      </c>
    </row>
    <row r="15" spans="1:6" x14ac:dyDescent="0.25">
      <c r="A15" s="245" t="s">
        <v>76</v>
      </c>
      <c r="B15" s="245"/>
      <c r="C15" s="140"/>
      <c r="D15" s="140"/>
      <c r="E15" s="141"/>
      <c r="F15" s="174">
        <f>SUM(F13:F14)</f>
        <v>0</v>
      </c>
    </row>
    <row r="16" spans="1:6" x14ac:dyDescent="0.25">
      <c r="A16" s="132" t="s">
        <v>320</v>
      </c>
      <c r="B16" s="132" t="s">
        <v>298</v>
      </c>
      <c r="C16" s="136"/>
      <c r="D16" s="139"/>
      <c r="E16" s="137"/>
      <c r="F16" s="165"/>
    </row>
    <row r="17" spans="1:6" ht="16.2" x14ac:dyDescent="0.25">
      <c r="A17" s="135" t="s">
        <v>321</v>
      </c>
      <c r="B17" s="135" t="s">
        <v>166</v>
      </c>
      <c r="C17" s="145" t="s">
        <v>360</v>
      </c>
      <c r="D17" s="145">
        <f>90*0.5*0.5</f>
        <v>22.5</v>
      </c>
      <c r="E17" s="150">
        <f>BPU!D21</f>
        <v>0</v>
      </c>
      <c r="F17" s="165">
        <f>+E17*D17</f>
        <v>0</v>
      </c>
    </row>
    <row r="18" spans="1:6" x14ac:dyDescent="0.25">
      <c r="A18" s="135" t="s">
        <v>322</v>
      </c>
      <c r="B18" s="135" t="s">
        <v>310</v>
      </c>
      <c r="C18" s="145" t="s">
        <v>165</v>
      </c>
      <c r="D18" s="145">
        <f>68.5*0.6*0.4</f>
        <v>16.440000000000001</v>
      </c>
      <c r="E18" s="150">
        <f>BPU!D22</f>
        <v>0</v>
      </c>
      <c r="F18" s="165">
        <f>+E18*D18</f>
        <v>0</v>
      </c>
    </row>
    <row r="19" spans="1:6" x14ac:dyDescent="0.25">
      <c r="A19" s="245" t="s">
        <v>77</v>
      </c>
      <c r="B19" s="245"/>
      <c r="C19" s="140"/>
      <c r="D19" s="140"/>
      <c r="E19" s="141"/>
      <c r="F19" s="174">
        <f>SUM(F17:F18)</f>
        <v>0</v>
      </c>
    </row>
    <row r="20" spans="1:6" x14ac:dyDescent="0.25">
      <c r="A20" s="185" t="s">
        <v>12</v>
      </c>
      <c r="B20" s="185" t="s">
        <v>112</v>
      </c>
      <c r="C20" s="47"/>
      <c r="D20" s="48"/>
      <c r="E20" s="37"/>
      <c r="F20" s="65"/>
    </row>
    <row r="21" spans="1:6" x14ac:dyDescent="0.25">
      <c r="A21" s="185" t="s">
        <v>67</v>
      </c>
      <c r="B21" s="185" t="s">
        <v>337</v>
      </c>
      <c r="C21" s="47"/>
      <c r="D21" s="48"/>
      <c r="E21" s="37"/>
      <c r="F21" s="65"/>
    </row>
    <row r="22" spans="1:6" ht="16.2" x14ac:dyDescent="0.25">
      <c r="A22" s="33" t="s">
        <v>323</v>
      </c>
      <c r="B22" s="15" t="s">
        <v>113</v>
      </c>
      <c r="C22" s="48" t="s">
        <v>275</v>
      </c>
      <c r="D22" s="48">
        <f>88.8*0.4*0.05</f>
        <v>1.7760000000000002</v>
      </c>
      <c r="E22" s="37">
        <f>BPU!D25</f>
        <v>0</v>
      </c>
      <c r="F22" s="65">
        <f>+E22*D22</f>
        <v>0</v>
      </c>
    </row>
    <row r="23" spans="1:6" ht="16.2" x14ac:dyDescent="0.25">
      <c r="A23" s="15" t="s">
        <v>324</v>
      </c>
      <c r="B23" s="15" t="s">
        <v>198</v>
      </c>
      <c r="C23" s="48" t="s">
        <v>275</v>
      </c>
      <c r="D23" s="48">
        <v>12.614000000000001</v>
      </c>
      <c r="E23" s="37">
        <f>BPU!D26</f>
        <v>0</v>
      </c>
      <c r="F23" s="65">
        <f t="shared" ref="F23:F27" si="1">+E23*D23</f>
        <v>0</v>
      </c>
    </row>
    <row r="24" spans="1:6" ht="16.2" x14ac:dyDescent="0.25">
      <c r="A24" s="15" t="s">
        <v>325</v>
      </c>
      <c r="B24" s="15" t="s">
        <v>199</v>
      </c>
      <c r="C24" s="48" t="s">
        <v>275</v>
      </c>
      <c r="D24" s="48">
        <f>60.6*0.07</f>
        <v>4.2420000000000009</v>
      </c>
      <c r="E24" s="37">
        <f>BPU!D27</f>
        <v>0</v>
      </c>
      <c r="F24" s="65">
        <f t="shared" si="1"/>
        <v>0</v>
      </c>
    </row>
    <row r="25" spans="1:6" ht="16.2" x14ac:dyDescent="0.25">
      <c r="A25" s="185" t="s">
        <v>68</v>
      </c>
      <c r="B25" s="185" t="s">
        <v>281</v>
      </c>
      <c r="C25" s="47"/>
      <c r="D25" s="48"/>
      <c r="E25" s="37"/>
      <c r="F25" s="65">
        <f t="shared" si="1"/>
        <v>0</v>
      </c>
    </row>
    <row r="26" spans="1:6" ht="16.2" x14ac:dyDescent="0.25">
      <c r="A26" s="15" t="s">
        <v>326</v>
      </c>
      <c r="B26" s="15" t="s">
        <v>167</v>
      </c>
      <c r="C26" s="48" t="s">
        <v>275</v>
      </c>
      <c r="D26" s="48">
        <f>+(0.6*50*0.2)+(0.2*0.2*45)</f>
        <v>7.8000000000000007</v>
      </c>
      <c r="E26" s="37">
        <f>BPU!D30</f>
        <v>0</v>
      </c>
      <c r="F26" s="65">
        <f t="shared" si="1"/>
        <v>0</v>
      </c>
    </row>
    <row r="27" spans="1:6" ht="16.2" x14ac:dyDescent="0.25">
      <c r="A27" s="15" t="s">
        <v>342</v>
      </c>
      <c r="B27" s="15" t="s">
        <v>328</v>
      </c>
      <c r="C27" s="48" t="s">
        <v>275</v>
      </c>
      <c r="D27" s="48">
        <f>0.2*0.2*1*20</f>
        <v>0.80000000000000016</v>
      </c>
      <c r="E27" s="37">
        <f>BPU!D31</f>
        <v>0</v>
      </c>
      <c r="F27" s="65">
        <f t="shared" si="1"/>
        <v>0</v>
      </c>
    </row>
    <row r="28" spans="1:6" x14ac:dyDescent="0.25">
      <c r="A28" s="244" t="s">
        <v>78</v>
      </c>
      <c r="B28" s="244"/>
      <c r="C28" s="45"/>
      <c r="D28" s="45"/>
      <c r="E28" s="46"/>
      <c r="F28" s="70">
        <f>SUM(F22:F27)</f>
        <v>0</v>
      </c>
    </row>
    <row r="29" spans="1:6" x14ac:dyDescent="0.25">
      <c r="A29" s="185" t="s">
        <v>120</v>
      </c>
      <c r="B29" s="185" t="s">
        <v>14</v>
      </c>
      <c r="C29" s="47"/>
      <c r="D29" s="48"/>
      <c r="E29" s="37"/>
      <c r="F29" s="65"/>
    </row>
    <row r="30" spans="1:6" ht="16.2" x14ac:dyDescent="0.25">
      <c r="A30" s="15" t="s">
        <v>69</v>
      </c>
      <c r="B30" s="33" t="s">
        <v>381</v>
      </c>
      <c r="C30" s="49" t="s">
        <v>275</v>
      </c>
      <c r="D30" s="49">
        <f>187.2*0.03</f>
        <v>5.6159999999999997</v>
      </c>
      <c r="E30" s="50">
        <f>+BPU!D36</f>
        <v>0</v>
      </c>
      <c r="F30" s="65">
        <f>+E30*D30</f>
        <v>0</v>
      </c>
    </row>
    <row r="31" spans="1:6" ht="16.2" x14ac:dyDescent="0.25">
      <c r="A31" s="15" t="s">
        <v>70</v>
      </c>
      <c r="B31" s="33" t="s">
        <v>156</v>
      </c>
      <c r="C31" s="49" t="s">
        <v>275</v>
      </c>
      <c r="D31" s="49">
        <v>70.34</v>
      </c>
      <c r="E31" s="50">
        <f>+BPU!D37</f>
        <v>0</v>
      </c>
      <c r="F31" s="65">
        <f>+E31*D31</f>
        <v>0</v>
      </c>
    </row>
    <row r="32" spans="1:6" x14ac:dyDescent="0.25">
      <c r="A32" s="15" t="s">
        <v>406</v>
      </c>
      <c r="B32" s="33" t="s">
        <v>407</v>
      </c>
      <c r="C32" s="48" t="s">
        <v>1</v>
      </c>
      <c r="D32" s="49">
        <v>187</v>
      </c>
      <c r="E32" s="50">
        <f>+BPU!D38</f>
        <v>0</v>
      </c>
      <c r="F32" s="65">
        <f>+E32*D32</f>
        <v>0</v>
      </c>
    </row>
    <row r="33" spans="1:6" x14ac:dyDescent="0.25">
      <c r="A33" s="244" t="s">
        <v>79</v>
      </c>
      <c r="B33" s="244"/>
      <c r="C33" s="45"/>
      <c r="D33" s="45"/>
      <c r="E33" s="46"/>
      <c r="F33" s="70">
        <f>SUM(F30:F32)</f>
        <v>0</v>
      </c>
    </row>
    <row r="34" spans="1:6" x14ac:dyDescent="0.25">
      <c r="A34" s="185" t="s">
        <v>122</v>
      </c>
      <c r="B34" s="185" t="s">
        <v>18</v>
      </c>
      <c r="C34" s="47"/>
      <c r="D34" s="48"/>
      <c r="E34" s="37"/>
      <c r="F34" s="65"/>
    </row>
    <row r="35" spans="1:6" ht="27.6" x14ac:dyDescent="0.25">
      <c r="A35" s="15" t="s">
        <v>123</v>
      </c>
      <c r="B35" s="15" t="s">
        <v>168</v>
      </c>
      <c r="C35" s="48" t="s">
        <v>2</v>
      </c>
      <c r="D35" s="48">
        <v>88.5</v>
      </c>
      <c r="E35" s="37">
        <f>BPU!D40</f>
        <v>0</v>
      </c>
      <c r="F35" s="65">
        <f>+E35*D35</f>
        <v>0</v>
      </c>
    </row>
    <row r="36" spans="1:6" x14ac:dyDescent="0.25">
      <c r="A36" s="15" t="s">
        <v>125</v>
      </c>
      <c r="B36" s="15" t="s">
        <v>126</v>
      </c>
      <c r="C36" s="48" t="s">
        <v>1</v>
      </c>
      <c r="D36" s="48">
        <f>25*3.5</f>
        <v>87.5</v>
      </c>
      <c r="E36" s="50">
        <f>BPU!D41</f>
        <v>0</v>
      </c>
      <c r="F36" s="65">
        <f t="shared" ref="F36:F37" si="2">+E36*D36</f>
        <v>0</v>
      </c>
    </row>
    <row r="37" spans="1:6" s="199" customFormat="1" x14ac:dyDescent="0.25">
      <c r="A37" s="15" t="s">
        <v>201</v>
      </c>
      <c r="B37" s="15" t="s">
        <v>183</v>
      </c>
      <c r="C37" s="48" t="s">
        <v>165</v>
      </c>
      <c r="D37" s="48">
        <v>74.98</v>
      </c>
      <c r="E37" s="50">
        <f>BPU!D42</f>
        <v>0</v>
      </c>
      <c r="F37" s="65">
        <f t="shared" si="2"/>
        <v>0</v>
      </c>
    </row>
    <row r="38" spans="1:6" s="199" customFormat="1" x14ac:dyDescent="0.25">
      <c r="A38" s="244" t="s">
        <v>80</v>
      </c>
      <c r="B38" s="244"/>
      <c r="C38" s="45"/>
      <c r="D38" s="45"/>
      <c r="E38" s="127"/>
      <c r="F38" s="70">
        <f>SUM(F35:F37)</f>
        <v>0</v>
      </c>
    </row>
    <row r="39" spans="1:6" x14ac:dyDescent="0.25">
      <c r="A39" s="185" t="s">
        <v>19</v>
      </c>
      <c r="B39" s="185" t="s">
        <v>128</v>
      </c>
      <c r="C39" s="47"/>
      <c r="D39" s="48"/>
      <c r="E39" s="50"/>
      <c r="F39" s="65"/>
    </row>
    <row r="40" spans="1:6" x14ac:dyDescent="0.25">
      <c r="A40" s="185" t="s">
        <v>129</v>
      </c>
      <c r="B40" s="185" t="s">
        <v>170</v>
      </c>
      <c r="C40" s="47"/>
      <c r="D40" s="48"/>
      <c r="E40" s="50"/>
      <c r="F40" s="65"/>
    </row>
    <row r="41" spans="1:6" s="199" customFormat="1" x14ac:dyDescent="0.25">
      <c r="A41" s="15" t="s">
        <v>131</v>
      </c>
      <c r="B41" s="15" t="s">
        <v>305</v>
      </c>
      <c r="C41" s="48" t="s">
        <v>1</v>
      </c>
      <c r="D41" s="48">
        <f>80*3.5</f>
        <v>280</v>
      </c>
      <c r="E41" s="50">
        <f>BPU!D46</f>
        <v>0</v>
      </c>
      <c r="F41" s="65">
        <f>+E41*D41</f>
        <v>0</v>
      </c>
    </row>
    <row r="42" spans="1:6" s="199" customFormat="1" x14ac:dyDescent="0.25">
      <c r="A42" s="15" t="s">
        <v>133</v>
      </c>
      <c r="B42" s="15" t="s">
        <v>184</v>
      </c>
      <c r="C42" s="48" t="s">
        <v>1</v>
      </c>
      <c r="D42" s="48">
        <f>(52+18)*2.7</f>
        <v>189</v>
      </c>
      <c r="E42" s="50">
        <f>BPU!D47</f>
        <v>0</v>
      </c>
      <c r="F42" s="65">
        <f t="shared" ref="F42:F46" si="3">+E42*D42</f>
        <v>0</v>
      </c>
    </row>
    <row r="43" spans="1:6" s="199" customFormat="1" x14ac:dyDescent="0.25">
      <c r="A43" s="15" t="s">
        <v>134</v>
      </c>
      <c r="B43" s="15" t="s">
        <v>306</v>
      </c>
      <c r="C43" s="48" t="s">
        <v>2</v>
      </c>
      <c r="D43" s="48">
        <f>56+52</f>
        <v>108</v>
      </c>
      <c r="E43" s="50">
        <f>BPU!D48</f>
        <v>0</v>
      </c>
      <c r="F43" s="65">
        <f t="shared" si="3"/>
        <v>0</v>
      </c>
    </row>
    <row r="44" spans="1:6" x14ac:dyDescent="0.25">
      <c r="A44" s="15" t="s">
        <v>136</v>
      </c>
      <c r="B44" s="185" t="s">
        <v>27</v>
      </c>
      <c r="C44" s="47"/>
      <c r="D44" s="48"/>
      <c r="E44" s="37"/>
      <c r="F44" s="65"/>
    </row>
    <row r="45" spans="1:6" s="199" customFormat="1" x14ac:dyDescent="0.25">
      <c r="A45" s="15" t="s">
        <v>138</v>
      </c>
      <c r="B45" s="15" t="s">
        <v>139</v>
      </c>
      <c r="C45" s="48" t="s">
        <v>1</v>
      </c>
      <c r="D45" s="48">
        <v>187.2</v>
      </c>
      <c r="E45" s="37">
        <f>BPU!D51</f>
        <v>0</v>
      </c>
      <c r="F45" s="65">
        <f t="shared" si="3"/>
        <v>0</v>
      </c>
    </row>
    <row r="46" spans="1:6" s="199" customFormat="1" x14ac:dyDescent="0.25">
      <c r="A46" s="15" t="s">
        <v>140</v>
      </c>
      <c r="B46" s="15" t="s">
        <v>307</v>
      </c>
      <c r="C46" s="48" t="s">
        <v>1</v>
      </c>
      <c r="D46" s="48">
        <v>60.6</v>
      </c>
      <c r="E46" s="37">
        <f>BPU!D52</f>
        <v>0</v>
      </c>
      <c r="F46" s="65">
        <f t="shared" si="3"/>
        <v>0</v>
      </c>
    </row>
    <row r="47" spans="1:6" s="199" customFormat="1" x14ac:dyDescent="0.25">
      <c r="A47" s="244" t="s">
        <v>97</v>
      </c>
      <c r="B47" s="244"/>
      <c r="C47" s="45"/>
      <c r="D47" s="45"/>
      <c r="E47" s="46"/>
      <c r="F47" s="70">
        <f>SUM(F41:F46)</f>
        <v>0</v>
      </c>
    </row>
    <row r="48" spans="1:6" x14ac:dyDescent="0.25">
      <c r="A48" s="185" t="s">
        <v>142</v>
      </c>
      <c r="B48" s="185" t="s">
        <v>143</v>
      </c>
      <c r="C48" s="47"/>
      <c r="D48" s="48"/>
      <c r="E48" s="37"/>
      <c r="F48" s="65"/>
    </row>
    <row r="49" spans="1:6" x14ac:dyDescent="0.25">
      <c r="A49" s="33" t="s">
        <v>172</v>
      </c>
      <c r="B49" s="33" t="s">
        <v>237</v>
      </c>
      <c r="C49" s="49" t="s">
        <v>2</v>
      </c>
      <c r="D49" s="49">
        <f>11*9</f>
        <v>99</v>
      </c>
      <c r="E49" s="50">
        <f>BPU!D54</f>
        <v>0</v>
      </c>
      <c r="F49" s="68">
        <f>+E49*D49</f>
        <v>0</v>
      </c>
    </row>
    <row r="50" spans="1:6" x14ac:dyDescent="0.25">
      <c r="A50" s="33" t="s">
        <v>144</v>
      </c>
      <c r="B50" s="33" t="s">
        <v>185</v>
      </c>
      <c r="C50" s="49" t="s">
        <v>2</v>
      </c>
      <c r="D50" s="49">
        <f>27.8*5</f>
        <v>139</v>
      </c>
      <c r="E50" s="50">
        <f>BPU!D56</f>
        <v>0</v>
      </c>
      <c r="F50" s="68">
        <f t="shared" ref="F50:F54" si="4">+E50*D50</f>
        <v>0</v>
      </c>
    </row>
    <row r="51" spans="1:6" x14ac:dyDescent="0.25">
      <c r="A51" s="33" t="s">
        <v>202</v>
      </c>
      <c r="B51" s="33" t="s">
        <v>186</v>
      </c>
      <c r="C51" s="49" t="s">
        <v>1</v>
      </c>
      <c r="D51" s="49">
        <f>187.2+60.6</f>
        <v>247.79999999999998</v>
      </c>
      <c r="E51" s="50">
        <f>BPU!D57</f>
        <v>0</v>
      </c>
      <c r="F51" s="68">
        <f t="shared" si="4"/>
        <v>0</v>
      </c>
    </row>
    <row r="52" spans="1:6" x14ac:dyDescent="0.25">
      <c r="A52" s="33" t="s">
        <v>146</v>
      </c>
      <c r="B52" s="33" t="s">
        <v>148</v>
      </c>
      <c r="C52" s="49" t="s">
        <v>2</v>
      </c>
      <c r="D52" s="49">
        <v>27.8</v>
      </c>
      <c r="E52" s="50">
        <f>BPU!D58</f>
        <v>0</v>
      </c>
      <c r="F52" s="68">
        <f t="shared" si="4"/>
        <v>0</v>
      </c>
    </row>
    <row r="53" spans="1:6" x14ac:dyDescent="0.25">
      <c r="A53" s="33" t="s">
        <v>147</v>
      </c>
      <c r="B53" s="33" t="s">
        <v>150</v>
      </c>
      <c r="C53" s="49" t="s">
        <v>2</v>
      </c>
      <c r="D53" s="49">
        <v>27.8</v>
      </c>
      <c r="E53" s="50">
        <f>BPU!D59</f>
        <v>0</v>
      </c>
      <c r="F53" s="68">
        <f t="shared" si="4"/>
        <v>0</v>
      </c>
    </row>
    <row r="54" spans="1:6" x14ac:dyDescent="0.25">
      <c r="A54" s="33" t="s">
        <v>149</v>
      </c>
      <c r="B54" s="33" t="s">
        <v>151</v>
      </c>
      <c r="C54" s="49" t="s">
        <v>2</v>
      </c>
      <c r="D54" s="49">
        <v>1</v>
      </c>
      <c r="E54" s="50">
        <f>BPU!D60</f>
        <v>0</v>
      </c>
      <c r="F54" s="68">
        <f t="shared" si="4"/>
        <v>0</v>
      </c>
    </row>
    <row r="55" spans="1:6" x14ac:dyDescent="0.25">
      <c r="A55" s="244" t="s">
        <v>98</v>
      </c>
      <c r="B55" s="244"/>
      <c r="C55" s="45"/>
      <c r="D55" s="45"/>
      <c r="E55" s="46"/>
      <c r="F55" s="70">
        <f>SUM(F49:F54)</f>
        <v>0</v>
      </c>
    </row>
    <row r="56" spans="1:6" x14ac:dyDescent="0.25">
      <c r="A56" s="185" t="s">
        <v>152</v>
      </c>
      <c r="B56" s="43" t="s">
        <v>311</v>
      </c>
      <c r="C56" s="43"/>
      <c r="D56" s="48"/>
      <c r="E56" s="37"/>
      <c r="F56" s="65"/>
    </row>
    <row r="57" spans="1:6" x14ac:dyDescent="0.25">
      <c r="A57" s="185" t="s">
        <v>71</v>
      </c>
      <c r="B57" s="185" t="s">
        <v>155</v>
      </c>
      <c r="C57" s="47"/>
      <c r="D57" s="48"/>
      <c r="E57" s="37"/>
      <c r="F57" s="65"/>
    </row>
    <row r="58" spans="1:6" x14ac:dyDescent="0.25">
      <c r="A58" s="15" t="s">
        <v>189</v>
      </c>
      <c r="B58" s="15" t="s">
        <v>193</v>
      </c>
      <c r="C58" s="48" t="s">
        <v>8</v>
      </c>
      <c r="D58" s="48">
        <v>4</v>
      </c>
      <c r="E58" s="37">
        <f>BPU!D64</f>
        <v>0</v>
      </c>
      <c r="F58" s="65">
        <f>D58*E58</f>
        <v>0</v>
      </c>
    </row>
    <row r="59" spans="1:6" x14ac:dyDescent="0.25">
      <c r="A59" s="15" t="s">
        <v>256</v>
      </c>
      <c r="B59" s="51" t="s">
        <v>255</v>
      </c>
      <c r="C59" s="48" t="s">
        <v>8</v>
      </c>
      <c r="D59" s="48">
        <v>2</v>
      </c>
      <c r="E59" s="52">
        <f>BPU!D66</f>
        <v>0</v>
      </c>
      <c r="F59" s="65">
        <f t="shared" ref="F59:F62" si="5">D59*E59</f>
        <v>0</v>
      </c>
    </row>
    <row r="60" spans="1:6" x14ac:dyDescent="0.25">
      <c r="A60" s="185" t="s">
        <v>173</v>
      </c>
      <c r="B60" s="185" t="s">
        <v>174</v>
      </c>
      <c r="C60" s="47"/>
      <c r="D60" s="48"/>
      <c r="E60" s="37"/>
      <c r="F60" s="65">
        <f t="shared" si="5"/>
        <v>0</v>
      </c>
    </row>
    <row r="61" spans="1:6" ht="33.75" customHeight="1" x14ac:dyDescent="0.25">
      <c r="A61" s="15" t="s">
        <v>175</v>
      </c>
      <c r="B61" s="15" t="s">
        <v>194</v>
      </c>
      <c r="C61" s="48" t="s">
        <v>8</v>
      </c>
      <c r="D61" s="48">
        <v>12</v>
      </c>
      <c r="E61" s="50">
        <f>BPU!D68</f>
        <v>0</v>
      </c>
      <c r="F61" s="65">
        <f t="shared" si="5"/>
        <v>0</v>
      </c>
    </row>
    <row r="62" spans="1:6" ht="30" customHeight="1" x14ac:dyDescent="0.25">
      <c r="A62" s="15" t="s">
        <v>350</v>
      </c>
      <c r="B62" s="15" t="s">
        <v>382</v>
      </c>
      <c r="C62" s="16" t="s">
        <v>73</v>
      </c>
      <c r="D62" s="31">
        <v>3</v>
      </c>
      <c r="E62" s="50">
        <f>BPU!D70</f>
        <v>0</v>
      </c>
      <c r="F62" s="65">
        <f t="shared" si="5"/>
        <v>0</v>
      </c>
    </row>
    <row r="63" spans="1:6" x14ac:dyDescent="0.25">
      <c r="A63" s="244" t="s">
        <v>99</v>
      </c>
      <c r="B63" s="244"/>
      <c r="C63" s="45"/>
      <c r="D63" s="45"/>
      <c r="E63" s="46"/>
      <c r="F63" s="70">
        <f>SUM(F58:F62)</f>
        <v>0</v>
      </c>
    </row>
    <row r="64" spans="1:6" x14ac:dyDescent="0.25">
      <c r="A64" s="185" t="s">
        <v>176</v>
      </c>
      <c r="B64" s="185" t="s">
        <v>88</v>
      </c>
      <c r="C64" s="47"/>
      <c r="D64" s="48"/>
      <c r="E64" s="37"/>
      <c r="F64" s="65"/>
    </row>
    <row r="65" spans="1:6" x14ac:dyDescent="0.25">
      <c r="A65" s="15" t="s">
        <v>177</v>
      </c>
      <c r="B65" s="15" t="s">
        <v>218</v>
      </c>
      <c r="C65" s="48" t="s">
        <v>1</v>
      </c>
      <c r="D65" s="48">
        <v>187.2</v>
      </c>
      <c r="E65" s="50">
        <f>BPU!D72</f>
        <v>0</v>
      </c>
      <c r="F65" s="65">
        <f>+E65*D65</f>
        <v>0</v>
      </c>
    </row>
    <row r="66" spans="1:6" x14ac:dyDescent="0.25">
      <c r="A66" s="244" t="s">
        <v>100</v>
      </c>
      <c r="B66" s="244"/>
      <c r="C66" s="45"/>
      <c r="D66" s="45"/>
      <c r="E66" s="46"/>
      <c r="F66" s="70">
        <f>SUM(F65)</f>
        <v>0</v>
      </c>
    </row>
    <row r="67" spans="1:6" x14ac:dyDescent="0.25">
      <c r="A67" s="185" t="s">
        <v>178</v>
      </c>
      <c r="B67" s="185" t="s">
        <v>37</v>
      </c>
      <c r="C67" s="47"/>
      <c r="D67" s="48"/>
      <c r="E67" s="50"/>
      <c r="F67" s="65"/>
    </row>
    <row r="68" spans="1:6" x14ac:dyDescent="0.25">
      <c r="A68" s="15" t="s">
        <v>179</v>
      </c>
      <c r="B68" s="15" t="s">
        <v>180</v>
      </c>
      <c r="C68" s="48" t="s">
        <v>1</v>
      </c>
      <c r="D68" s="48">
        <f>+D43*3</f>
        <v>324</v>
      </c>
      <c r="E68" s="50">
        <f>BPU!D74</f>
        <v>0</v>
      </c>
      <c r="F68" s="65">
        <f>+E68*D68</f>
        <v>0</v>
      </c>
    </row>
    <row r="69" spans="1:6" ht="27.6" x14ac:dyDescent="0.25">
      <c r="A69" s="15" t="s">
        <v>181</v>
      </c>
      <c r="B69" s="15" t="s">
        <v>200</v>
      </c>
      <c r="C69" s="48" t="s">
        <v>1</v>
      </c>
      <c r="D69" s="48">
        <f>+(1.8*1.35*12)+(2.6*4)</f>
        <v>39.56</v>
      </c>
      <c r="E69" s="50">
        <f>BPU!D75</f>
        <v>0</v>
      </c>
      <c r="F69" s="65">
        <f>+E69*D69</f>
        <v>0</v>
      </c>
    </row>
    <row r="70" spans="1:6" x14ac:dyDescent="0.25">
      <c r="A70" s="244" t="s">
        <v>99</v>
      </c>
      <c r="B70" s="244"/>
      <c r="C70" s="45"/>
      <c r="D70" s="45"/>
      <c r="E70" s="46"/>
      <c r="F70" s="70">
        <f>SUM(F68:F69)</f>
        <v>0</v>
      </c>
    </row>
    <row r="71" spans="1:6" x14ac:dyDescent="0.25">
      <c r="A71" s="53" t="s">
        <v>40</v>
      </c>
      <c r="B71" s="53" t="s">
        <v>39</v>
      </c>
      <c r="C71" s="30"/>
      <c r="D71" s="54"/>
      <c r="E71" s="32"/>
      <c r="F71" s="65"/>
    </row>
    <row r="72" spans="1:6" x14ac:dyDescent="0.25">
      <c r="A72" s="53" t="s">
        <v>41</v>
      </c>
      <c r="B72" s="27" t="s">
        <v>45</v>
      </c>
      <c r="C72" s="30"/>
      <c r="D72" s="54"/>
      <c r="E72" s="32"/>
      <c r="F72" s="65"/>
    </row>
    <row r="73" spans="1:6" x14ac:dyDescent="0.25">
      <c r="A73" s="18" t="s">
        <v>49</v>
      </c>
      <c r="B73" s="55" t="s">
        <v>84</v>
      </c>
      <c r="C73" s="16" t="s">
        <v>89</v>
      </c>
      <c r="D73" s="31">
        <v>3</v>
      </c>
      <c r="E73" s="32">
        <f>BPU!D78</f>
        <v>0</v>
      </c>
      <c r="F73" s="65">
        <f>+E73*D73</f>
        <v>0</v>
      </c>
    </row>
    <row r="74" spans="1:6" x14ac:dyDescent="0.25">
      <c r="A74" s="18" t="s">
        <v>50</v>
      </c>
      <c r="B74" s="55" t="s">
        <v>44</v>
      </c>
      <c r="C74" s="16" t="s">
        <v>89</v>
      </c>
      <c r="D74" s="31">
        <v>3</v>
      </c>
      <c r="E74" s="32">
        <f>BPU!D79</f>
        <v>0</v>
      </c>
      <c r="F74" s="65">
        <f t="shared" ref="F74:F84" si="6">+E74*D74</f>
        <v>0</v>
      </c>
    </row>
    <row r="75" spans="1:6" ht="27.6" x14ac:dyDescent="0.25">
      <c r="A75" s="18" t="s">
        <v>51</v>
      </c>
      <c r="B75" s="28" t="s">
        <v>250</v>
      </c>
      <c r="C75" s="16" t="s">
        <v>9</v>
      </c>
      <c r="D75" s="31">
        <v>1</v>
      </c>
      <c r="E75" s="32">
        <f>BPU!D80</f>
        <v>0</v>
      </c>
      <c r="F75" s="65">
        <f t="shared" si="6"/>
        <v>0</v>
      </c>
    </row>
    <row r="76" spans="1:6" ht="27.6" x14ac:dyDescent="0.25">
      <c r="A76" s="18" t="s">
        <v>52</v>
      </c>
      <c r="B76" s="56" t="s">
        <v>251</v>
      </c>
      <c r="C76" s="16" t="s">
        <v>9</v>
      </c>
      <c r="D76" s="31">
        <v>1</v>
      </c>
      <c r="E76" s="32">
        <f>BPU!D81</f>
        <v>0</v>
      </c>
      <c r="F76" s="65">
        <f t="shared" si="6"/>
        <v>0</v>
      </c>
    </row>
    <row r="77" spans="1:6" x14ac:dyDescent="0.25">
      <c r="A77" s="18" t="s">
        <v>53</v>
      </c>
      <c r="B77" s="55" t="s">
        <v>85</v>
      </c>
      <c r="C77" s="16" t="s">
        <v>8</v>
      </c>
      <c r="D77" s="31">
        <v>18</v>
      </c>
      <c r="E77" s="32">
        <f>BPU!D82</f>
        <v>0</v>
      </c>
      <c r="F77" s="65">
        <f t="shared" si="6"/>
        <v>0</v>
      </c>
    </row>
    <row r="78" spans="1:6" x14ac:dyDescent="0.25">
      <c r="A78" s="18" t="s">
        <v>54</v>
      </c>
      <c r="B78" s="55" t="s">
        <v>91</v>
      </c>
      <c r="C78" s="16" t="s">
        <v>8</v>
      </c>
      <c r="D78" s="31">
        <v>8</v>
      </c>
      <c r="E78" s="32">
        <f>BPU!D83</f>
        <v>0</v>
      </c>
      <c r="F78" s="65">
        <f t="shared" si="6"/>
        <v>0</v>
      </c>
    </row>
    <row r="79" spans="1:6" x14ac:dyDescent="0.25">
      <c r="A79" s="18" t="s">
        <v>203</v>
      </c>
      <c r="B79" s="55" t="s">
        <v>90</v>
      </c>
      <c r="C79" s="16" t="s">
        <v>89</v>
      </c>
      <c r="D79" s="31">
        <v>4</v>
      </c>
      <c r="E79" s="32">
        <f>BPU!D84</f>
        <v>0</v>
      </c>
      <c r="F79" s="65">
        <f t="shared" si="6"/>
        <v>0</v>
      </c>
    </row>
    <row r="80" spans="1:6" x14ac:dyDescent="0.25">
      <c r="A80" s="53" t="s">
        <v>43</v>
      </c>
      <c r="B80" s="27" t="s">
        <v>46</v>
      </c>
      <c r="C80" s="16"/>
      <c r="D80" s="31"/>
      <c r="E80" s="32"/>
      <c r="F80" s="65">
        <f t="shared" si="6"/>
        <v>0</v>
      </c>
    </row>
    <row r="81" spans="1:6" x14ac:dyDescent="0.25">
      <c r="A81" s="18" t="s">
        <v>55</v>
      </c>
      <c r="B81" s="57" t="s">
        <v>101</v>
      </c>
      <c r="C81" s="16" t="s">
        <v>8</v>
      </c>
      <c r="D81" s="31">
        <v>12</v>
      </c>
      <c r="E81" s="32">
        <f>BPU!D86</f>
        <v>0</v>
      </c>
      <c r="F81" s="65">
        <f t="shared" si="6"/>
        <v>0</v>
      </c>
    </row>
    <row r="82" spans="1:6" x14ac:dyDescent="0.25">
      <c r="A82" s="53" t="s">
        <v>42</v>
      </c>
      <c r="B82" s="58" t="s">
        <v>47</v>
      </c>
      <c r="C82" s="16"/>
      <c r="D82" s="31"/>
      <c r="E82" s="32"/>
      <c r="F82" s="65">
        <f t="shared" si="6"/>
        <v>0</v>
      </c>
    </row>
    <row r="83" spans="1:6" x14ac:dyDescent="0.25">
      <c r="A83" s="33" t="s">
        <v>56</v>
      </c>
      <c r="B83" s="194" t="s">
        <v>383</v>
      </c>
      <c r="C83" s="16" t="s">
        <v>8</v>
      </c>
      <c r="D83" s="31">
        <v>1</v>
      </c>
      <c r="E83" s="32">
        <f>+BPU!D88</f>
        <v>0</v>
      </c>
      <c r="F83" s="65">
        <f t="shared" si="6"/>
        <v>0</v>
      </c>
    </row>
    <row r="84" spans="1:6" x14ac:dyDescent="0.25">
      <c r="A84" s="18" t="s">
        <v>102</v>
      </c>
      <c r="B84" s="55" t="s">
        <v>103</v>
      </c>
      <c r="C84" s="16" t="s">
        <v>73</v>
      </c>
      <c r="D84" s="31">
        <v>1</v>
      </c>
      <c r="E84" s="32">
        <f>+BPU!D89</f>
        <v>0</v>
      </c>
      <c r="F84" s="65">
        <f t="shared" si="6"/>
        <v>0</v>
      </c>
    </row>
    <row r="85" spans="1:6" x14ac:dyDescent="0.25">
      <c r="A85" s="244" t="s">
        <v>354</v>
      </c>
      <c r="B85" s="244"/>
      <c r="C85" s="45"/>
      <c r="D85" s="45"/>
      <c r="E85" s="46"/>
      <c r="F85" s="70">
        <f>SUM(F73:F84)</f>
        <v>0</v>
      </c>
    </row>
    <row r="86" spans="1:6" x14ac:dyDescent="0.25">
      <c r="A86" s="53" t="s">
        <v>223</v>
      </c>
      <c r="B86" s="155" t="s">
        <v>366</v>
      </c>
      <c r="C86" s="30"/>
      <c r="D86" s="54"/>
      <c r="E86" s="59"/>
      <c r="F86" s="65"/>
    </row>
    <row r="87" spans="1:6" x14ac:dyDescent="0.25">
      <c r="A87" s="53" t="s">
        <v>224</v>
      </c>
      <c r="B87" s="160" t="s">
        <v>369</v>
      </c>
      <c r="C87" s="30"/>
      <c r="D87" s="54"/>
      <c r="E87" s="59"/>
      <c r="F87" s="65"/>
    </row>
    <row r="88" spans="1:6" ht="16.2" x14ac:dyDescent="0.25">
      <c r="A88" s="18" t="s">
        <v>225</v>
      </c>
      <c r="B88" s="55" t="s">
        <v>331</v>
      </c>
      <c r="C88" s="16" t="s">
        <v>279</v>
      </c>
      <c r="D88" s="31">
        <v>28.3</v>
      </c>
      <c r="E88" s="59">
        <f>BPU!D92</f>
        <v>0</v>
      </c>
      <c r="F88" s="65">
        <f>+E88*D88</f>
        <v>0</v>
      </c>
    </row>
    <row r="89" spans="1:6" ht="16.2" x14ac:dyDescent="0.25">
      <c r="A89" s="18" t="s">
        <v>226</v>
      </c>
      <c r="B89" s="55" t="s">
        <v>408</v>
      </c>
      <c r="C89" s="16" t="s">
        <v>279</v>
      </c>
      <c r="D89" s="31">
        <f>6.28*0.4*0.4</f>
        <v>1.0048000000000001</v>
      </c>
      <c r="E89" s="59">
        <f>BPU!D93</f>
        <v>0</v>
      </c>
      <c r="F89" s="65">
        <f t="shared" ref="F89:F94" si="7">+E89*D89</f>
        <v>0</v>
      </c>
    </row>
    <row r="90" spans="1:6" ht="16.2" x14ac:dyDescent="0.25">
      <c r="A90" s="18" t="s">
        <v>227</v>
      </c>
      <c r="B90" s="55" t="s">
        <v>94</v>
      </c>
      <c r="C90" s="16" t="s">
        <v>275</v>
      </c>
      <c r="D90" s="60">
        <f>3*3.14*0.4*1.8</f>
        <v>6.7824000000000009</v>
      </c>
      <c r="E90" s="59">
        <f>BPU!D94</f>
        <v>0</v>
      </c>
      <c r="F90" s="65">
        <f t="shared" si="7"/>
        <v>0</v>
      </c>
    </row>
    <row r="91" spans="1:6" ht="16.2" x14ac:dyDescent="0.25">
      <c r="A91" s="18" t="s">
        <v>228</v>
      </c>
      <c r="B91" s="55" t="s">
        <v>231</v>
      </c>
      <c r="C91" s="16" t="s">
        <v>279</v>
      </c>
      <c r="D91" s="31">
        <v>15.4</v>
      </c>
      <c r="E91" s="59">
        <f>BPU!D95</f>
        <v>0</v>
      </c>
      <c r="F91" s="65">
        <f t="shared" si="7"/>
        <v>0</v>
      </c>
    </row>
    <row r="92" spans="1:6" x14ac:dyDescent="0.25">
      <c r="A92" s="18" t="s">
        <v>229</v>
      </c>
      <c r="B92" s="55" t="s">
        <v>384</v>
      </c>
      <c r="C92" s="16" t="s">
        <v>8</v>
      </c>
      <c r="D92" s="31">
        <v>1</v>
      </c>
      <c r="E92" s="59">
        <f>BPU!D96</f>
        <v>0</v>
      </c>
      <c r="F92" s="65">
        <f t="shared" si="7"/>
        <v>0</v>
      </c>
    </row>
    <row r="93" spans="1:6" ht="27.6" x14ac:dyDescent="0.25">
      <c r="A93" s="33" t="s">
        <v>229</v>
      </c>
      <c r="B93" s="36" t="s">
        <v>96</v>
      </c>
      <c r="C93" s="61" t="s">
        <v>4</v>
      </c>
      <c r="D93" s="31">
        <v>1</v>
      </c>
      <c r="E93" s="59">
        <f>BPU!D97</f>
        <v>0</v>
      </c>
      <c r="F93" s="65">
        <f t="shared" si="7"/>
        <v>0</v>
      </c>
    </row>
    <row r="94" spans="1:6" x14ac:dyDescent="0.25">
      <c r="A94" s="29" t="s">
        <v>230</v>
      </c>
      <c r="B94" s="57" t="s">
        <v>222</v>
      </c>
      <c r="C94" s="16" t="s">
        <v>2</v>
      </c>
      <c r="D94" s="57">
        <v>12</v>
      </c>
      <c r="E94" s="62">
        <f>BPU!D98</f>
        <v>0</v>
      </c>
      <c r="F94" s="65">
        <f t="shared" si="7"/>
        <v>0</v>
      </c>
    </row>
    <row r="95" spans="1:6" x14ac:dyDescent="0.25">
      <c r="A95" s="244" t="s">
        <v>335</v>
      </c>
      <c r="B95" s="244"/>
      <c r="C95" s="45"/>
      <c r="D95" s="45"/>
      <c r="E95" s="46"/>
      <c r="F95" s="70">
        <f>SUM(F88:F94)</f>
        <v>0</v>
      </c>
    </row>
    <row r="96" spans="1:6" x14ac:dyDescent="0.25">
      <c r="A96" s="29" t="s">
        <v>300</v>
      </c>
      <c r="B96" s="58" t="s">
        <v>62</v>
      </c>
      <c r="C96" s="16"/>
      <c r="D96" s="31"/>
      <c r="E96" s="32"/>
      <c r="F96" s="65"/>
    </row>
    <row r="97" spans="1:6" x14ac:dyDescent="0.25">
      <c r="A97" s="33" t="s">
        <v>65</v>
      </c>
      <c r="B97" s="55" t="s">
        <v>63</v>
      </c>
      <c r="C97" s="16" t="s">
        <v>2</v>
      </c>
      <c r="D97" s="31">
        <v>46</v>
      </c>
      <c r="E97" s="32">
        <f>BPU!D100</f>
        <v>0</v>
      </c>
      <c r="F97" s="65">
        <f>+E97*D97</f>
        <v>0</v>
      </c>
    </row>
    <row r="98" spans="1:6" x14ac:dyDescent="0.25">
      <c r="A98" s="244" t="s">
        <v>355</v>
      </c>
      <c r="B98" s="244"/>
      <c r="C98" s="45"/>
      <c r="D98" s="45"/>
      <c r="E98" s="46"/>
      <c r="F98" s="70">
        <f>SUM(F97:F97)</f>
        <v>0</v>
      </c>
    </row>
    <row r="99" spans="1:6" x14ac:dyDescent="0.25">
      <c r="A99" s="195" t="s">
        <v>265</v>
      </c>
      <c r="B99" s="195" t="s">
        <v>261</v>
      </c>
      <c r="C99" s="196"/>
      <c r="D99" s="197"/>
      <c r="E99" s="198"/>
      <c r="F99" s="65"/>
    </row>
    <row r="100" spans="1:6" x14ac:dyDescent="0.25">
      <c r="A100" s="37" t="s">
        <v>266</v>
      </c>
      <c r="B100" s="110" t="s">
        <v>262</v>
      </c>
      <c r="C100" s="37"/>
      <c r="D100" s="37"/>
      <c r="E100" s="37"/>
      <c r="F100" s="37"/>
    </row>
    <row r="101" spans="1:6" x14ac:dyDescent="0.25">
      <c r="A101" s="37" t="s">
        <v>333</v>
      </c>
      <c r="B101" s="69" t="s">
        <v>267</v>
      </c>
      <c r="C101" s="37" t="s">
        <v>2</v>
      </c>
      <c r="D101" s="37">
        <v>55</v>
      </c>
      <c r="E101" s="37">
        <f>BPU!D104</f>
        <v>0</v>
      </c>
      <c r="F101" s="37">
        <f>+E101*D101</f>
        <v>0</v>
      </c>
    </row>
    <row r="102" spans="1:6" ht="16.5" customHeight="1" x14ac:dyDescent="0.25">
      <c r="A102" s="37" t="s">
        <v>332</v>
      </c>
      <c r="B102" s="69" t="s">
        <v>263</v>
      </c>
      <c r="C102" s="37" t="s">
        <v>8</v>
      </c>
      <c r="D102" s="37">
        <v>3</v>
      </c>
      <c r="E102" s="37">
        <f>BPU!D105</f>
        <v>0</v>
      </c>
      <c r="F102" s="37">
        <f t="shared" ref="F102:F103" si="8">+E102*D102</f>
        <v>0</v>
      </c>
    </row>
    <row r="103" spans="1:6" x14ac:dyDescent="0.25">
      <c r="A103" s="37" t="s">
        <v>334</v>
      </c>
      <c r="B103" s="69" t="s">
        <v>264</v>
      </c>
      <c r="C103" s="37" t="s">
        <v>8</v>
      </c>
      <c r="D103" s="37">
        <v>1</v>
      </c>
      <c r="E103" s="37">
        <f>BPU!D106</f>
        <v>0</v>
      </c>
      <c r="F103" s="37">
        <f t="shared" si="8"/>
        <v>0</v>
      </c>
    </row>
    <row r="104" spans="1:6" x14ac:dyDescent="0.25">
      <c r="A104" s="244" t="s">
        <v>356</v>
      </c>
      <c r="B104" s="244"/>
      <c r="C104" s="45"/>
      <c r="D104" s="45"/>
      <c r="E104" s="46"/>
      <c r="F104" s="70">
        <f>SUM(F101:F103)</f>
        <v>0</v>
      </c>
    </row>
    <row r="105" spans="1:6" x14ac:dyDescent="0.25">
      <c r="A105" s="29" t="s">
        <v>243</v>
      </c>
      <c r="B105" s="27" t="s">
        <v>282</v>
      </c>
      <c r="C105" s="16"/>
      <c r="D105" s="31"/>
      <c r="E105" s="32"/>
      <c r="F105" s="65"/>
    </row>
    <row r="106" spans="1:6" ht="16.2" x14ac:dyDescent="0.25">
      <c r="A106" s="33" t="s">
        <v>244</v>
      </c>
      <c r="B106" s="34" t="s">
        <v>240</v>
      </c>
      <c r="C106" s="16" t="s">
        <v>279</v>
      </c>
      <c r="D106" s="31">
        <v>60</v>
      </c>
      <c r="E106" s="32">
        <f>BPU!D108</f>
        <v>0</v>
      </c>
      <c r="F106" s="65">
        <f>+E106*D106</f>
        <v>0</v>
      </c>
    </row>
    <row r="107" spans="1:6" ht="16.2" x14ac:dyDescent="0.25">
      <c r="A107" s="33" t="s">
        <v>245</v>
      </c>
      <c r="B107" s="34" t="s">
        <v>241</v>
      </c>
      <c r="C107" s="16" t="s">
        <v>279</v>
      </c>
      <c r="D107" s="31">
        <v>24</v>
      </c>
      <c r="E107" s="32">
        <f>BPU!D109</f>
        <v>0</v>
      </c>
      <c r="F107" s="65">
        <f t="shared" ref="F107:F108" si="9">+E107*D107</f>
        <v>0</v>
      </c>
    </row>
    <row r="108" spans="1:6" x14ac:dyDescent="0.25">
      <c r="A108" s="33" t="s">
        <v>246</v>
      </c>
      <c r="B108" s="34" t="s">
        <v>242</v>
      </c>
      <c r="C108" s="16" t="s">
        <v>2</v>
      </c>
      <c r="D108" s="31">
        <v>451</v>
      </c>
      <c r="E108" s="32">
        <f>BPU!D110</f>
        <v>0</v>
      </c>
      <c r="F108" s="65">
        <f t="shared" si="9"/>
        <v>0</v>
      </c>
    </row>
    <row r="109" spans="1:6" x14ac:dyDescent="0.25">
      <c r="A109" s="244" t="s">
        <v>357</v>
      </c>
      <c r="B109" s="244"/>
      <c r="C109" s="45"/>
      <c r="D109" s="45"/>
      <c r="E109" s="63"/>
      <c r="F109" s="70">
        <f>SUM(F106:F108)</f>
        <v>0</v>
      </c>
    </row>
    <row r="110" spans="1:6" x14ac:dyDescent="0.25">
      <c r="A110" s="241" t="s">
        <v>293</v>
      </c>
      <c r="B110" s="242"/>
      <c r="C110" s="242"/>
      <c r="D110" s="242"/>
      <c r="E110" s="243"/>
      <c r="F110" s="126">
        <f>+F109+F104+F98+F95+F85+F70+F66+F63+F55+F47+F38+F33+F28+F19+F15+F11+F7</f>
        <v>0</v>
      </c>
    </row>
  </sheetData>
  <mergeCells count="19">
    <mergeCell ref="A38:B38"/>
    <mergeCell ref="A1:F1"/>
    <mergeCell ref="A7:B7"/>
    <mergeCell ref="A19:B19"/>
    <mergeCell ref="A28:B28"/>
    <mergeCell ref="A33:B33"/>
    <mergeCell ref="A11:B11"/>
    <mergeCell ref="A15:B15"/>
    <mergeCell ref="A109:B109"/>
    <mergeCell ref="A110:E110"/>
    <mergeCell ref="A47:B47"/>
    <mergeCell ref="A55:B55"/>
    <mergeCell ref="A63:B63"/>
    <mergeCell ref="A66:B66"/>
    <mergeCell ref="A70:B70"/>
    <mergeCell ref="A85:B85"/>
    <mergeCell ref="A95:B95"/>
    <mergeCell ref="A98:B98"/>
    <mergeCell ref="A104:B10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6"/>
  <sheetViews>
    <sheetView topLeftCell="A94" workbookViewId="0">
      <selection activeCell="L63" sqref="L63"/>
    </sheetView>
  </sheetViews>
  <sheetFormatPr baseColWidth="10" defaultColWidth="9.109375" defaultRowHeight="13.8" x14ac:dyDescent="0.25"/>
  <cols>
    <col min="1" max="1" width="10.33203125" style="100" customWidth="1"/>
    <col min="2" max="2" width="45.33203125" style="100" customWidth="1"/>
    <col min="3" max="4" width="9.109375" style="100"/>
    <col min="5" max="5" width="15.88671875" style="191" customWidth="1"/>
    <col min="6" max="6" width="19.5546875" style="200" customWidth="1"/>
    <col min="7" max="16384" width="9.109375" style="100"/>
  </cols>
  <sheetData>
    <row r="1" spans="1:6" ht="38.25" customHeight="1" x14ac:dyDescent="0.25">
      <c r="A1" s="250" t="s">
        <v>385</v>
      </c>
      <c r="B1" s="250"/>
      <c r="C1" s="250"/>
      <c r="D1" s="250"/>
      <c r="E1" s="250"/>
      <c r="F1" s="250"/>
    </row>
    <row r="2" spans="1:6" x14ac:dyDescent="0.25">
      <c r="A2" s="129" t="s">
        <v>5</v>
      </c>
      <c r="B2" s="129" t="s">
        <v>157</v>
      </c>
      <c r="C2" s="130" t="s">
        <v>158</v>
      </c>
      <c r="D2" s="130" t="s">
        <v>3</v>
      </c>
      <c r="E2" s="131" t="s">
        <v>390</v>
      </c>
      <c r="F2" s="170" t="s">
        <v>352</v>
      </c>
    </row>
    <row r="3" spans="1:6" x14ac:dyDescent="0.25">
      <c r="A3" s="132" t="s">
        <v>161</v>
      </c>
      <c r="B3" s="133" t="s">
        <v>11</v>
      </c>
      <c r="C3" s="133"/>
      <c r="D3" s="133"/>
      <c r="E3" s="134"/>
      <c r="F3" s="175"/>
    </row>
    <row r="4" spans="1:6" x14ac:dyDescent="0.25">
      <c r="A4" s="135" t="s">
        <v>163</v>
      </c>
      <c r="B4" s="135" t="s">
        <v>164</v>
      </c>
      <c r="C4" s="136" t="s">
        <v>9</v>
      </c>
      <c r="D4" s="136">
        <v>1</v>
      </c>
      <c r="E4" s="137">
        <f>BPU!D5</f>
        <v>0</v>
      </c>
      <c r="F4" s="165">
        <f t="shared" ref="F4" si="0">+E4*D4</f>
        <v>0</v>
      </c>
    </row>
    <row r="5" spans="1:6" x14ac:dyDescent="0.25">
      <c r="A5" s="251" t="s">
        <v>74</v>
      </c>
      <c r="B5" s="252"/>
      <c r="C5" s="176"/>
      <c r="D5" s="176"/>
      <c r="E5" s="171"/>
      <c r="F5" s="177">
        <f>SUM(F4:F4)</f>
        <v>0</v>
      </c>
    </row>
    <row r="6" spans="1:6" x14ac:dyDescent="0.25">
      <c r="A6" s="142" t="s">
        <v>314</v>
      </c>
      <c r="B6" s="142" t="s">
        <v>302</v>
      </c>
      <c r="C6" s="143"/>
      <c r="D6" s="143"/>
      <c r="E6" s="144"/>
      <c r="F6" s="169"/>
    </row>
    <row r="7" spans="1:6" x14ac:dyDescent="0.25">
      <c r="A7" s="142" t="s">
        <v>204</v>
      </c>
      <c r="B7" s="142" t="s">
        <v>303</v>
      </c>
      <c r="C7" s="143"/>
      <c r="D7" s="143"/>
      <c r="E7" s="144"/>
      <c r="F7" s="169"/>
    </row>
    <row r="8" spans="1:6" x14ac:dyDescent="0.25">
      <c r="A8" s="138" t="s">
        <v>316</v>
      </c>
      <c r="B8" s="138" t="s">
        <v>387</v>
      </c>
      <c r="C8" s="136" t="s">
        <v>10</v>
      </c>
      <c r="D8" s="139">
        <v>217.6</v>
      </c>
      <c r="E8" s="180">
        <f>BPU!D9</f>
        <v>0</v>
      </c>
      <c r="F8" s="169">
        <f>+E8*D8</f>
        <v>0</v>
      </c>
    </row>
    <row r="9" spans="1:6" x14ac:dyDescent="0.25">
      <c r="A9" s="138" t="s">
        <v>317</v>
      </c>
      <c r="B9" s="138" t="s">
        <v>388</v>
      </c>
      <c r="C9" s="136" t="s">
        <v>10</v>
      </c>
      <c r="D9" s="139">
        <v>58.8</v>
      </c>
      <c r="E9" s="180">
        <f>BPU!D10</f>
        <v>0</v>
      </c>
      <c r="F9" s="169">
        <f t="shared" ref="F9:F12" si="1">+E9*D9</f>
        <v>0</v>
      </c>
    </row>
    <row r="10" spans="1:6" x14ac:dyDescent="0.25">
      <c r="A10" s="138" t="str">
        <f>BPU!A12</f>
        <v>PREP-1-4</v>
      </c>
      <c r="B10" s="138" t="s">
        <v>235</v>
      </c>
      <c r="C10" s="187" t="s">
        <v>9</v>
      </c>
      <c r="D10" s="139">
        <v>1</v>
      </c>
      <c r="E10" s="180">
        <f>BPU!D12</f>
        <v>0</v>
      </c>
      <c r="F10" s="169">
        <f>+E10*D10</f>
        <v>0</v>
      </c>
    </row>
    <row r="11" spans="1:6" x14ac:dyDescent="0.25">
      <c r="A11" s="138" t="str">
        <f>BPU!A13</f>
        <v>PREP-1-5</v>
      </c>
      <c r="B11" s="138" t="s">
        <v>386</v>
      </c>
      <c r="C11" s="136" t="s">
        <v>10</v>
      </c>
      <c r="D11" s="139">
        <v>52.5</v>
      </c>
      <c r="E11" s="180">
        <f>BPU!D13</f>
        <v>0</v>
      </c>
      <c r="F11" s="169">
        <f>+E11*D11</f>
        <v>0</v>
      </c>
    </row>
    <row r="12" spans="1:6" x14ac:dyDescent="0.25">
      <c r="A12" s="142" t="s">
        <v>83</v>
      </c>
      <c r="B12" s="138" t="s">
        <v>308</v>
      </c>
      <c r="C12" s="187" t="s">
        <v>2</v>
      </c>
      <c r="D12" s="139">
        <v>30</v>
      </c>
      <c r="E12" s="180">
        <f>BPU!D14</f>
        <v>0</v>
      </c>
      <c r="F12" s="169">
        <f t="shared" si="1"/>
        <v>0</v>
      </c>
    </row>
    <row r="13" spans="1:6" x14ac:dyDescent="0.25">
      <c r="A13" s="249" t="s">
        <v>74</v>
      </c>
      <c r="B13" s="249"/>
      <c r="C13" s="176"/>
      <c r="D13" s="176"/>
      <c r="E13" s="171"/>
      <c r="F13" s="177">
        <f>SUM(F8:F12)</f>
        <v>0</v>
      </c>
    </row>
    <row r="14" spans="1:6" x14ac:dyDescent="0.25">
      <c r="A14" s="132" t="s">
        <v>109</v>
      </c>
      <c r="B14" s="132" t="s">
        <v>110</v>
      </c>
      <c r="C14" s="147"/>
      <c r="D14" s="145"/>
      <c r="E14" s="148"/>
      <c r="F14" s="165"/>
    </row>
    <row r="15" spans="1:6" ht="16.2" x14ac:dyDescent="0.25">
      <c r="A15" s="135" t="s">
        <v>61</v>
      </c>
      <c r="B15" s="138" t="s">
        <v>182</v>
      </c>
      <c r="C15" s="136" t="s">
        <v>360</v>
      </c>
      <c r="D15" s="139">
        <f>9*7*0.03</f>
        <v>1.89</v>
      </c>
      <c r="E15" s="137">
        <f>BPU!D18</f>
        <v>0</v>
      </c>
      <c r="F15" s="165">
        <f>+E15*D15</f>
        <v>0</v>
      </c>
    </row>
    <row r="16" spans="1:6" ht="16.2" x14ac:dyDescent="0.25">
      <c r="A16" s="135" t="s">
        <v>72</v>
      </c>
      <c r="B16" s="138" t="s">
        <v>299</v>
      </c>
      <c r="C16" s="136" t="s">
        <v>360</v>
      </c>
      <c r="D16" s="139">
        <v>2</v>
      </c>
      <c r="E16" s="137">
        <f>BPU!D19</f>
        <v>0</v>
      </c>
      <c r="F16" s="165">
        <f>+E16*D16</f>
        <v>0</v>
      </c>
    </row>
    <row r="17" spans="1:6" ht="16.5" customHeight="1" x14ac:dyDescent="0.25">
      <c r="A17" s="249" t="s">
        <v>74</v>
      </c>
      <c r="B17" s="249"/>
      <c r="C17" s="176"/>
      <c r="D17" s="176"/>
      <c r="E17" s="171"/>
      <c r="F17" s="177">
        <f>SUM(F14:F16)</f>
        <v>0</v>
      </c>
    </row>
    <row r="18" spans="1:6" x14ac:dyDescent="0.25">
      <c r="A18" s="135" t="s">
        <v>320</v>
      </c>
      <c r="B18" s="132" t="s">
        <v>298</v>
      </c>
      <c r="C18" s="136"/>
      <c r="D18" s="139"/>
      <c r="E18" s="137"/>
      <c r="F18" s="165"/>
    </row>
    <row r="19" spans="1:6" ht="16.2" x14ac:dyDescent="0.25">
      <c r="A19" s="135" t="s">
        <v>321</v>
      </c>
      <c r="B19" s="135" t="s">
        <v>166</v>
      </c>
      <c r="C19" s="145" t="s">
        <v>360</v>
      </c>
      <c r="D19" s="145">
        <v>7.32</v>
      </c>
      <c r="E19" s="150">
        <f>BPU!D21</f>
        <v>0</v>
      </c>
      <c r="F19" s="165">
        <f>+E19*D19</f>
        <v>0</v>
      </c>
    </row>
    <row r="20" spans="1:6" x14ac:dyDescent="0.25">
      <c r="A20" s="135" t="s">
        <v>322</v>
      </c>
      <c r="B20" s="135" t="s">
        <v>310</v>
      </c>
      <c r="C20" s="145" t="s">
        <v>165</v>
      </c>
      <c r="D20" s="145">
        <v>9.4</v>
      </c>
      <c r="E20" s="150">
        <f>BPU!D22</f>
        <v>0</v>
      </c>
      <c r="F20" s="165">
        <f>+E20*D20</f>
        <v>0</v>
      </c>
    </row>
    <row r="21" spans="1:6" x14ac:dyDescent="0.25">
      <c r="A21" s="245" t="s">
        <v>75</v>
      </c>
      <c r="B21" s="245"/>
      <c r="C21" s="140"/>
      <c r="D21" s="140"/>
      <c r="E21" s="141"/>
      <c r="F21" s="174">
        <f>SUM(F19:F20)</f>
        <v>0</v>
      </c>
    </row>
    <row r="22" spans="1:6" x14ac:dyDescent="0.25">
      <c r="A22" s="132" t="s">
        <v>12</v>
      </c>
      <c r="B22" s="132" t="s">
        <v>112</v>
      </c>
      <c r="C22" s="147"/>
      <c r="D22" s="145"/>
      <c r="E22" s="148"/>
      <c r="F22" s="165"/>
    </row>
    <row r="23" spans="1:6" x14ac:dyDescent="0.25">
      <c r="A23" s="132" t="s">
        <v>67</v>
      </c>
      <c r="B23" s="132" t="s">
        <v>337</v>
      </c>
      <c r="C23" s="147"/>
      <c r="D23" s="145"/>
      <c r="E23" s="148"/>
      <c r="F23" s="165"/>
    </row>
    <row r="24" spans="1:6" ht="16.2" x14ac:dyDescent="0.25">
      <c r="A24" s="40" t="s">
        <v>323</v>
      </c>
      <c r="B24" s="135" t="s">
        <v>113</v>
      </c>
      <c r="C24" s="145" t="s">
        <v>360</v>
      </c>
      <c r="D24" s="145">
        <v>0.48</v>
      </c>
      <c r="E24" s="148">
        <f>BPU!D25</f>
        <v>0</v>
      </c>
      <c r="F24" s="165">
        <f>+E24*D24</f>
        <v>0</v>
      </c>
    </row>
    <row r="25" spans="1:6" ht="16.2" x14ac:dyDescent="0.25">
      <c r="A25" s="135" t="s">
        <v>324</v>
      </c>
      <c r="B25" s="135" t="s">
        <v>198</v>
      </c>
      <c r="C25" s="145" t="s">
        <v>360</v>
      </c>
      <c r="D25" s="145">
        <v>18.231999999999999</v>
      </c>
      <c r="E25" s="148">
        <f>BPU!D26</f>
        <v>0</v>
      </c>
      <c r="F25" s="165">
        <f t="shared" ref="F25:F29" si="2">+E25*D25</f>
        <v>0</v>
      </c>
    </row>
    <row r="26" spans="1:6" ht="16.2" x14ac:dyDescent="0.25">
      <c r="A26" s="135" t="s">
        <v>325</v>
      </c>
      <c r="B26" s="135" t="s">
        <v>199</v>
      </c>
      <c r="C26" s="145" t="s">
        <v>360</v>
      </c>
      <c r="D26" s="145">
        <f>25*0.8*0.07</f>
        <v>1.4000000000000001</v>
      </c>
      <c r="E26" s="148">
        <f>BPU!D27</f>
        <v>0</v>
      </c>
      <c r="F26" s="165">
        <f t="shared" si="2"/>
        <v>0</v>
      </c>
    </row>
    <row r="27" spans="1:6" ht="16.2" x14ac:dyDescent="0.25">
      <c r="A27" s="132" t="s">
        <v>68</v>
      </c>
      <c r="B27" s="132" t="s">
        <v>361</v>
      </c>
      <c r="C27" s="147"/>
      <c r="D27" s="145"/>
      <c r="E27" s="148"/>
      <c r="F27" s="165">
        <f t="shared" si="2"/>
        <v>0</v>
      </c>
    </row>
    <row r="28" spans="1:6" ht="16.2" x14ac:dyDescent="0.25">
      <c r="A28" s="135" t="s">
        <v>326</v>
      </c>
      <c r="B28" s="135" t="s">
        <v>167</v>
      </c>
      <c r="C28" s="145" t="s">
        <v>360</v>
      </c>
      <c r="D28" s="145">
        <v>1.58</v>
      </c>
      <c r="E28" s="148">
        <f>BPU!D30</f>
        <v>0</v>
      </c>
      <c r="F28" s="165">
        <f t="shared" si="2"/>
        <v>0</v>
      </c>
    </row>
    <row r="29" spans="1:6" ht="16.2" x14ac:dyDescent="0.25">
      <c r="A29" s="135" t="s">
        <v>327</v>
      </c>
      <c r="B29" s="135" t="s">
        <v>328</v>
      </c>
      <c r="C29" s="145" t="s">
        <v>360</v>
      </c>
      <c r="D29" s="145">
        <v>0.92</v>
      </c>
      <c r="E29" s="148">
        <f>BPU!D31</f>
        <v>0</v>
      </c>
      <c r="F29" s="165">
        <f t="shared" si="2"/>
        <v>0</v>
      </c>
    </row>
    <row r="30" spans="1:6" x14ac:dyDescent="0.25">
      <c r="A30" s="245" t="s">
        <v>76</v>
      </c>
      <c r="B30" s="245"/>
      <c r="C30" s="140"/>
      <c r="D30" s="140"/>
      <c r="E30" s="141"/>
      <c r="F30" s="174">
        <f>SUM(F24:F29)</f>
        <v>0</v>
      </c>
    </row>
    <row r="31" spans="1:6" x14ac:dyDescent="0.25">
      <c r="A31" s="132" t="s">
        <v>120</v>
      </c>
      <c r="B31" s="132" t="s">
        <v>14</v>
      </c>
      <c r="C31" s="147"/>
      <c r="D31" s="145"/>
      <c r="E31" s="148"/>
      <c r="F31" s="165"/>
    </row>
    <row r="32" spans="1:6" ht="16.2" x14ac:dyDescent="0.25">
      <c r="A32" s="40" t="s">
        <v>69</v>
      </c>
      <c r="B32" s="40" t="s">
        <v>297</v>
      </c>
      <c r="C32" s="149" t="s">
        <v>360</v>
      </c>
      <c r="D32" s="149">
        <v>24.288</v>
      </c>
      <c r="E32" s="150">
        <f>BPU!D36</f>
        <v>0</v>
      </c>
      <c r="F32" s="165">
        <f>+E32*D32</f>
        <v>0</v>
      </c>
    </row>
    <row r="33" spans="1:6" ht="16.2" x14ac:dyDescent="0.25">
      <c r="A33" s="40" t="s">
        <v>70</v>
      </c>
      <c r="B33" s="40" t="s">
        <v>156</v>
      </c>
      <c r="C33" s="149" t="s">
        <v>360</v>
      </c>
      <c r="D33" s="149">
        <v>80.959999999999994</v>
      </c>
      <c r="E33" s="150">
        <f>BPU!D37</f>
        <v>0</v>
      </c>
      <c r="F33" s="165">
        <f>+E33*D33</f>
        <v>0</v>
      </c>
    </row>
    <row r="34" spans="1:6" ht="15.6" customHeight="1" x14ac:dyDescent="0.25">
      <c r="A34" s="245" t="s">
        <v>77</v>
      </c>
      <c r="B34" s="245"/>
      <c r="C34" s="140"/>
      <c r="D34" s="140"/>
      <c r="E34" s="141"/>
      <c r="F34" s="174">
        <f>SUM(F32:F33)</f>
        <v>0</v>
      </c>
    </row>
    <row r="35" spans="1:6" x14ac:dyDescent="0.25">
      <c r="A35" s="146" t="s">
        <v>122</v>
      </c>
      <c r="B35" s="146" t="s">
        <v>18</v>
      </c>
      <c r="C35" s="168"/>
      <c r="D35" s="149"/>
      <c r="E35" s="150"/>
      <c r="F35" s="165"/>
    </row>
    <row r="36" spans="1:6" ht="27.6" x14ac:dyDescent="0.25">
      <c r="A36" s="40" t="s">
        <v>123</v>
      </c>
      <c r="B36" s="40" t="s">
        <v>168</v>
      </c>
      <c r="C36" s="149" t="s">
        <v>2</v>
      </c>
      <c r="D36" s="149">
        <v>24</v>
      </c>
      <c r="E36" s="150">
        <f>BPU!D40</f>
        <v>0</v>
      </c>
      <c r="F36" s="165">
        <f>+E36*D36</f>
        <v>0</v>
      </c>
    </row>
    <row r="37" spans="1:6" x14ac:dyDescent="0.25">
      <c r="A37" s="40" t="s">
        <v>125</v>
      </c>
      <c r="B37" s="40" t="s">
        <v>126</v>
      </c>
      <c r="C37" s="149" t="s">
        <v>1</v>
      </c>
      <c r="D37" s="149">
        <v>137.4</v>
      </c>
      <c r="E37" s="150">
        <f>BPU!D41</f>
        <v>0</v>
      </c>
      <c r="F37" s="165">
        <f t="shared" ref="F37:F38" si="3">+E37*D37</f>
        <v>0</v>
      </c>
    </row>
    <row r="38" spans="1:6" x14ac:dyDescent="0.25">
      <c r="A38" s="40" t="s">
        <v>201</v>
      </c>
      <c r="B38" s="40" t="s">
        <v>183</v>
      </c>
      <c r="C38" s="149" t="s">
        <v>165</v>
      </c>
      <c r="D38" s="149">
        <v>23.04</v>
      </c>
      <c r="E38" s="150">
        <f>BPU!D42</f>
        <v>0</v>
      </c>
      <c r="F38" s="165">
        <f t="shared" si="3"/>
        <v>0</v>
      </c>
    </row>
    <row r="39" spans="1:6" x14ac:dyDescent="0.25">
      <c r="A39" s="245" t="s">
        <v>78</v>
      </c>
      <c r="B39" s="245"/>
      <c r="C39" s="140"/>
      <c r="D39" s="140"/>
      <c r="E39" s="141"/>
      <c r="F39" s="174">
        <f>SUM(F36:F38)</f>
        <v>0</v>
      </c>
    </row>
    <row r="40" spans="1:6" x14ac:dyDescent="0.25">
      <c r="A40" s="132" t="s">
        <v>19</v>
      </c>
      <c r="B40" s="132" t="s">
        <v>128</v>
      </c>
      <c r="C40" s="147"/>
      <c r="D40" s="145"/>
      <c r="E40" s="148"/>
      <c r="F40" s="165"/>
    </row>
    <row r="41" spans="1:6" x14ac:dyDescent="0.25">
      <c r="A41" s="132" t="s">
        <v>129</v>
      </c>
      <c r="B41" s="132" t="s">
        <v>170</v>
      </c>
      <c r="C41" s="147"/>
      <c r="D41" s="145"/>
      <c r="E41" s="148"/>
      <c r="F41" s="165"/>
    </row>
    <row r="42" spans="1:6" x14ac:dyDescent="0.25">
      <c r="A42" s="135" t="s">
        <v>131</v>
      </c>
      <c r="B42" s="135" t="s">
        <v>305</v>
      </c>
      <c r="C42" s="145" t="s">
        <v>1</v>
      </c>
      <c r="D42" s="145">
        <v>105</v>
      </c>
      <c r="E42" s="150">
        <f>BPU!D46</f>
        <v>0</v>
      </c>
      <c r="F42" s="165">
        <f>+E42*D42</f>
        <v>0</v>
      </c>
    </row>
    <row r="43" spans="1:6" x14ac:dyDescent="0.25">
      <c r="A43" s="135" t="s">
        <v>133</v>
      </c>
      <c r="B43" s="135" t="s">
        <v>184</v>
      </c>
      <c r="C43" s="145" t="s">
        <v>1</v>
      </c>
      <c r="D43" s="145">
        <v>223.6</v>
      </c>
      <c r="E43" s="150">
        <f>BPU!D47</f>
        <v>0</v>
      </c>
      <c r="F43" s="165">
        <f t="shared" ref="F43:F45" si="4">+E43*D43</f>
        <v>0</v>
      </c>
    </row>
    <row r="44" spans="1:6" x14ac:dyDescent="0.25">
      <c r="A44" s="135" t="s">
        <v>134</v>
      </c>
      <c r="B44" s="135" t="s">
        <v>306</v>
      </c>
      <c r="C44" s="145" t="s">
        <v>2</v>
      </c>
      <c r="D44" s="145">
        <v>120</v>
      </c>
      <c r="E44" s="150">
        <f>BPU!D48</f>
        <v>0</v>
      </c>
      <c r="F44" s="165">
        <f t="shared" si="4"/>
        <v>0</v>
      </c>
    </row>
    <row r="45" spans="1:6" x14ac:dyDescent="0.25">
      <c r="A45" s="135" t="s">
        <v>329</v>
      </c>
      <c r="B45" s="135" t="s">
        <v>330</v>
      </c>
      <c r="C45" s="145" t="s">
        <v>1</v>
      </c>
      <c r="D45" s="145">
        <v>25</v>
      </c>
      <c r="E45" s="150">
        <f>BPU!D49</f>
        <v>0</v>
      </c>
      <c r="F45" s="165">
        <f t="shared" si="4"/>
        <v>0</v>
      </c>
    </row>
    <row r="46" spans="1:6" x14ac:dyDescent="0.25">
      <c r="A46" s="135" t="s">
        <v>136</v>
      </c>
      <c r="B46" s="132" t="s">
        <v>27</v>
      </c>
      <c r="C46" s="147"/>
      <c r="D46" s="145"/>
      <c r="E46" s="150"/>
      <c r="F46" s="165"/>
    </row>
    <row r="47" spans="1:6" x14ac:dyDescent="0.25">
      <c r="A47" s="135" t="s">
        <v>138</v>
      </c>
      <c r="B47" s="135" t="s">
        <v>139</v>
      </c>
      <c r="C47" s="145" t="s">
        <v>1</v>
      </c>
      <c r="D47" s="145">
        <v>217.8</v>
      </c>
      <c r="E47" s="150">
        <f>BPU!D51</f>
        <v>0</v>
      </c>
      <c r="F47" s="165">
        <f>+E47*D47</f>
        <v>0</v>
      </c>
    </row>
    <row r="48" spans="1:6" x14ac:dyDescent="0.25">
      <c r="A48" s="135" t="s">
        <v>140</v>
      </c>
      <c r="B48" s="135" t="s">
        <v>307</v>
      </c>
      <c r="C48" s="145" t="s">
        <v>1</v>
      </c>
      <c r="D48" s="145">
        <v>67.2</v>
      </c>
      <c r="E48" s="150">
        <f>BPU!D52</f>
        <v>0</v>
      </c>
      <c r="F48" s="165">
        <f>+E48*D48</f>
        <v>0</v>
      </c>
    </row>
    <row r="49" spans="1:6" x14ac:dyDescent="0.25">
      <c r="A49" s="245" t="s">
        <v>79</v>
      </c>
      <c r="B49" s="245"/>
      <c r="C49" s="140"/>
      <c r="D49" s="140"/>
      <c r="E49" s="141"/>
      <c r="F49" s="174">
        <f>SUM(F42:F48)</f>
        <v>0</v>
      </c>
    </row>
    <row r="50" spans="1:6" x14ac:dyDescent="0.25">
      <c r="A50" s="132" t="s">
        <v>142</v>
      </c>
      <c r="B50" s="132" t="s">
        <v>143</v>
      </c>
      <c r="C50" s="147"/>
      <c r="D50" s="145"/>
      <c r="E50" s="150"/>
      <c r="F50" s="165"/>
    </row>
    <row r="51" spans="1:6" x14ac:dyDescent="0.25">
      <c r="A51" s="40" t="s">
        <v>172</v>
      </c>
      <c r="B51" s="40" t="s">
        <v>237</v>
      </c>
      <c r="C51" s="149" t="s">
        <v>2</v>
      </c>
      <c r="D51" s="149">
        <f>10.6*5</f>
        <v>53</v>
      </c>
      <c r="E51" s="150">
        <f>BPU!D54</f>
        <v>0</v>
      </c>
      <c r="F51" s="169">
        <f>+E51*D51</f>
        <v>0</v>
      </c>
    </row>
    <row r="52" spans="1:6" x14ac:dyDescent="0.25">
      <c r="A52" s="40" t="s">
        <v>144</v>
      </c>
      <c r="B52" s="40" t="s">
        <v>185</v>
      </c>
      <c r="C52" s="149" t="s">
        <v>2</v>
      </c>
      <c r="D52" s="149">
        <v>57</v>
      </c>
      <c r="E52" s="150">
        <f>BPU!D56</f>
        <v>0</v>
      </c>
      <c r="F52" s="169">
        <f t="shared" ref="F52:F56" si="5">+E52*D52</f>
        <v>0</v>
      </c>
    </row>
    <row r="53" spans="1:6" x14ac:dyDescent="0.25">
      <c r="A53" s="40" t="s">
        <v>202</v>
      </c>
      <c r="B53" s="40" t="s">
        <v>186</v>
      </c>
      <c r="C53" s="149" t="s">
        <v>1</v>
      </c>
      <c r="D53" s="149">
        <v>82.72</v>
      </c>
      <c r="E53" s="150">
        <f>BPU!D57</f>
        <v>0</v>
      </c>
      <c r="F53" s="169">
        <f t="shared" si="5"/>
        <v>0</v>
      </c>
    </row>
    <row r="54" spans="1:6" x14ac:dyDescent="0.25">
      <c r="A54" s="40" t="s">
        <v>146</v>
      </c>
      <c r="B54" s="40" t="s">
        <v>148</v>
      </c>
      <c r="C54" s="149" t="s">
        <v>2</v>
      </c>
      <c r="D54" s="149">
        <v>35</v>
      </c>
      <c r="E54" s="150">
        <f>BPU!D58</f>
        <v>0</v>
      </c>
      <c r="F54" s="169">
        <f t="shared" si="5"/>
        <v>0</v>
      </c>
    </row>
    <row r="55" spans="1:6" x14ac:dyDescent="0.25">
      <c r="A55" s="40" t="s">
        <v>147</v>
      </c>
      <c r="B55" s="40" t="s">
        <v>150</v>
      </c>
      <c r="C55" s="149" t="s">
        <v>2</v>
      </c>
      <c r="D55" s="149">
        <v>35</v>
      </c>
      <c r="E55" s="150">
        <f>BPU!D59</f>
        <v>0</v>
      </c>
      <c r="F55" s="169">
        <f t="shared" si="5"/>
        <v>0</v>
      </c>
    </row>
    <row r="56" spans="1:6" x14ac:dyDescent="0.25">
      <c r="A56" s="40" t="s">
        <v>149</v>
      </c>
      <c r="B56" s="40" t="s">
        <v>151</v>
      </c>
      <c r="C56" s="149" t="s">
        <v>2</v>
      </c>
      <c r="D56" s="149">
        <v>6</v>
      </c>
      <c r="E56" s="150">
        <f>BPU!D60</f>
        <v>0</v>
      </c>
      <c r="F56" s="169">
        <f t="shared" si="5"/>
        <v>0</v>
      </c>
    </row>
    <row r="57" spans="1:6" x14ac:dyDescent="0.25">
      <c r="A57" s="245" t="s">
        <v>80</v>
      </c>
      <c r="B57" s="245"/>
      <c r="C57" s="140"/>
      <c r="D57" s="140"/>
      <c r="E57" s="141"/>
      <c r="F57" s="174">
        <f>SUM(F51:F56)</f>
        <v>0</v>
      </c>
    </row>
    <row r="58" spans="1:6" x14ac:dyDescent="0.25">
      <c r="A58" s="132" t="s">
        <v>152</v>
      </c>
      <c r="B58" s="133" t="s">
        <v>311</v>
      </c>
      <c r="C58" s="133"/>
      <c r="D58" s="145"/>
      <c r="E58" s="148"/>
      <c r="F58" s="165"/>
    </row>
    <row r="59" spans="1:6" x14ac:dyDescent="0.25">
      <c r="A59" s="132" t="s">
        <v>71</v>
      </c>
      <c r="B59" s="132" t="s">
        <v>155</v>
      </c>
      <c r="C59" s="147"/>
      <c r="D59" s="145"/>
      <c r="E59" s="148"/>
      <c r="F59" s="165"/>
    </row>
    <row r="60" spans="1:6" x14ac:dyDescent="0.25">
      <c r="A60" s="135" t="s">
        <v>189</v>
      </c>
      <c r="B60" s="135" t="s">
        <v>193</v>
      </c>
      <c r="C60" s="145" t="s">
        <v>8</v>
      </c>
      <c r="D60" s="145">
        <v>1</v>
      </c>
      <c r="E60" s="148">
        <f>BPU!D64</f>
        <v>0</v>
      </c>
      <c r="F60" s="165">
        <f>+E60*D60</f>
        <v>0</v>
      </c>
    </row>
    <row r="61" spans="1:6" x14ac:dyDescent="0.25">
      <c r="A61" s="135" t="s">
        <v>256</v>
      </c>
      <c r="B61" s="151" t="s">
        <v>255</v>
      </c>
      <c r="C61" s="145" t="s">
        <v>8</v>
      </c>
      <c r="D61" s="145">
        <v>4</v>
      </c>
      <c r="E61" s="152">
        <f>BPU!D66</f>
        <v>0</v>
      </c>
      <c r="F61" s="165">
        <f t="shared" ref="F61:F71" si="6">+E61*D61</f>
        <v>0</v>
      </c>
    </row>
    <row r="62" spans="1:6" x14ac:dyDescent="0.25">
      <c r="A62" s="132" t="s">
        <v>173</v>
      </c>
      <c r="B62" s="132" t="s">
        <v>174</v>
      </c>
      <c r="C62" s="147"/>
      <c r="D62" s="145"/>
      <c r="E62" s="148"/>
      <c r="F62" s="165">
        <f t="shared" si="6"/>
        <v>0</v>
      </c>
    </row>
    <row r="63" spans="1:6" ht="27.6" x14ac:dyDescent="0.25">
      <c r="A63" s="135" t="s">
        <v>175</v>
      </c>
      <c r="B63" s="135" t="s">
        <v>194</v>
      </c>
      <c r="C63" s="145" t="s">
        <v>8</v>
      </c>
      <c r="D63" s="145">
        <v>16</v>
      </c>
      <c r="E63" s="150">
        <f>BPU!D68</f>
        <v>0</v>
      </c>
      <c r="F63" s="165">
        <f t="shared" si="6"/>
        <v>0</v>
      </c>
    </row>
    <row r="64" spans="1:6" x14ac:dyDescent="0.25">
      <c r="A64" s="135" t="s">
        <v>313</v>
      </c>
      <c r="B64" s="135" t="s">
        <v>312</v>
      </c>
      <c r="C64" s="145" t="s">
        <v>8</v>
      </c>
      <c r="D64" s="145">
        <v>6</v>
      </c>
      <c r="E64" s="150">
        <f>BPU!D69</f>
        <v>0</v>
      </c>
      <c r="F64" s="165">
        <f t="shared" si="6"/>
        <v>0</v>
      </c>
    </row>
    <row r="65" spans="1:6" x14ac:dyDescent="0.25">
      <c r="A65" s="245" t="s">
        <v>97</v>
      </c>
      <c r="B65" s="245"/>
      <c r="C65" s="140"/>
      <c r="D65" s="140"/>
      <c r="E65" s="141"/>
      <c r="F65" s="174">
        <f>SUM(F60:F64)</f>
        <v>0</v>
      </c>
    </row>
    <row r="66" spans="1:6" x14ac:dyDescent="0.25">
      <c r="A66" s="132" t="s">
        <v>176</v>
      </c>
      <c r="B66" s="132" t="s">
        <v>88</v>
      </c>
      <c r="C66" s="147"/>
      <c r="D66" s="145"/>
      <c r="E66" s="150"/>
      <c r="F66" s="165"/>
    </row>
    <row r="67" spans="1:6" x14ac:dyDescent="0.25">
      <c r="A67" s="135" t="s">
        <v>177</v>
      </c>
      <c r="B67" s="135" t="s">
        <v>218</v>
      </c>
      <c r="C67" s="145" t="s">
        <v>1</v>
      </c>
      <c r="D67" s="145">
        <v>219</v>
      </c>
      <c r="E67" s="150">
        <f>BPU!D72</f>
        <v>0</v>
      </c>
      <c r="F67" s="165">
        <f t="shared" si="6"/>
        <v>0</v>
      </c>
    </row>
    <row r="68" spans="1:6" x14ac:dyDescent="0.25">
      <c r="A68" s="245" t="s">
        <v>98</v>
      </c>
      <c r="B68" s="245"/>
      <c r="C68" s="140"/>
      <c r="D68" s="140"/>
      <c r="E68" s="141"/>
      <c r="F68" s="174">
        <f>SUM(F67)</f>
        <v>0</v>
      </c>
    </row>
    <row r="69" spans="1:6" x14ac:dyDescent="0.25">
      <c r="A69" s="132" t="s">
        <v>178</v>
      </c>
      <c r="B69" s="132" t="s">
        <v>37</v>
      </c>
      <c r="C69" s="147"/>
      <c r="D69" s="145"/>
      <c r="E69" s="150"/>
      <c r="F69" s="165"/>
    </row>
    <row r="70" spans="1:6" x14ac:dyDescent="0.25">
      <c r="A70" s="135" t="s">
        <v>179</v>
      </c>
      <c r="B70" s="135" t="s">
        <v>180</v>
      </c>
      <c r="C70" s="145" t="s">
        <v>1</v>
      </c>
      <c r="D70" s="145">
        <v>132.80000000000001</v>
      </c>
      <c r="E70" s="150">
        <f>BPU!D74</f>
        <v>0</v>
      </c>
      <c r="F70" s="165">
        <f t="shared" si="6"/>
        <v>0</v>
      </c>
    </row>
    <row r="71" spans="1:6" ht="27.6" x14ac:dyDescent="0.25">
      <c r="A71" s="135" t="s">
        <v>181</v>
      </c>
      <c r="B71" s="135" t="s">
        <v>200</v>
      </c>
      <c r="C71" s="145" t="s">
        <v>1</v>
      </c>
      <c r="D71" s="145">
        <v>44.88</v>
      </c>
      <c r="E71" s="150">
        <f>BPU!D75</f>
        <v>0</v>
      </c>
      <c r="F71" s="165">
        <f t="shared" si="6"/>
        <v>0</v>
      </c>
    </row>
    <row r="72" spans="1:6" x14ac:dyDescent="0.25">
      <c r="A72" s="245" t="s">
        <v>99</v>
      </c>
      <c r="B72" s="245"/>
      <c r="C72" s="140"/>
      <c r="D72" s="140"/>
      <c r="E72" s="141"/>
      <c r="F72" s="174">
        <f>SUM(F70:F71)</f>
        <v>0</v>
      </c>
    </row>
    <row r="73" spans="1:6" x14ac:dyDescent="0.25">
      <c r="A73" s="142" t="s">
        <v>40</v>
      </c>
      <c r="B73" s="142" t="s">
        <v>39</v>
      </c>
      <c r="C73" s="153"/>
      <c r="D73" s="154"/>
      <c r="E73" s="137"/>
      <c r="F73" s="165"/>
    </row>
    <row r="74" spans="1:6" x14ac:dyDescent="0.25">
      <c r="A74" s="142" t="s">
        <v>41</v>
      </c>
      <c r="B74" s="155" t="s">
        <v>45</v>
      </c>
      <c r="C74" s="153"/>
      <c r="D74" s="154"/>
      <c r="E74" s="137"/>
      <c r="F74" s="165"/>
    </row>
    <row r="75" spans="1:6" x14ac:dyDescent="0.25">
      <c r="A75" s="142" t="s">
        <v>49</v>
      </c>
      <c r="B75" s="156" t="s">
        <v>84</v>
      </c>
      <c r="C75" s="136" t="s">
        <v>89</v>
      </c>
      <c r="D75" s="139">
        <v>4</v>
      </c>
      <c r="E75" s="137">
        <f>BPU!D78</f>
        <v>0</v>
      </c>
      <c r="F75" s="165">
        <f>+E75*D75</f>
        <v>0</v>
      </c>
    </row>
    <row r="76" spans="1:6" x14ac:dyDescent="0.25">
      <c r="A76" s="142" t="s">
        <v>50</v>
      </c>
      <c r="B76" s="156" t="s">
        <v>44</v>
      </c>
      <c r="C76" s="136" t="s">
        <v>89</v>
      </c>
      <c r="D76" s="139">
        <v>4</v>
      </c>
      <c r="E76" s="137">
        <f>BPU!D79</f>
        <v>0</v>
      </c>
      <c r="F76" s="165">
        <f t="shared" ref="F76:F85" si="7">+E76*D76</f>
        <v>0</v>
      </c>
    </row>
    <row r="77" spans="1:6" ht="27.6" x14ac:dyDescent="0.25">
      <c r="A77" s="142" t="s">
        <v>51</v>
      </c>
      <c r="B77" s="157" t="s">
        <v>250</v>
      </c>
      <c r="C77" s="136" t="s">
        <v>9</v>
      </c>
      <c r="D77" s="139">
        <v>1</v>
      </c>
      <c r="E77" s="137">
        <f>BPU!D80</f>
        <v>0</v>
      </c>
      <c r="F77" s="165">
        <f t="shared" si="7"/>
        <v>0</v>
      </c>
    </row>
    <row r="78" spans="1:6" x14ac:dyDescent="0.25">
      <c r="A78" s="142" t="s">
        <v>53</v>
      </c>
      <c r="B78" s="156" t="s">
        <v>85</v>
      </c>
      <c r="C78" s="136" t="s">
        <v>8</v>
      </c>
      <c r="D78" s="139">
        <v>8</v>
      </c>
      <c r="E78" s="137">
        <f>BPU!D82</f>
        <v>0</v>
      </c>
      <c r="F78" s="165">
        <f t="shared" si="7"/>
        <v>0</v>
      </c>
    </row>
    <row r="79" spans="1:6" x14ac:dyDescent="0.25">
      <c r="A79" s="142" t="s">
        <v>54</v>
      </c>
      <c r="B79" s="156" t="s">
        <v>91</v>
      </c>
      <c r="C79" s="136" t="s">
        <v>8</v>
      </c>
      <c r="D79" s="139">
        <v>8</v>
      </c>
      <c r="E79" s="137">
        <f>BPU!D83</f>
        <v>0</v>
      </c>
      <c r="F79" s="165">
        <f t="shared" si="7"/>
        <v>0</v>
      </c>
    </row>
    <row r="80" spans="1:6" x14ac:dyDescent="0.25">
      <c r="A80" s="142" t="s">
        <v>203</v>
      </c>
      <c r="B80" s="156" t="s">
        <v>90</v>
      </c>
      <c r="C80" s="136" t="s">
        <v>89</v>
      </c>
      <c r="D80" s="139">
        <v>4</v>
      </c>
      <c r="E80" s="137">
        <f>BPU!D84</f>
        <v>0</v>
      </c>
      <c r="F80" s="165">
        <f t="shared" si="7"/>
        <v>0</v>
      </c>
    </row>
    <row r="81" spans="1:6" x14ac:dyDescent="0.25">
      <c r="A81" s="142" t="s">
        <v>43</v>
      </c>
      <c r="B81" s="155" t="s">
        <v>46</v>
      </c>
      <c r="C81" s="136"/>
      <c r="D81" s="139"/>
      <c r="E81" s="137"/>
      <c r="F81" s="165">
        <f t="shared" si="7"/>
        <v>0</v>
      </c>
    </row>
    <row r="82" spans="1:6" x14ac:dyDescent="0.25">
      <c r="A82" s="142" t="s">
        <v>55</v>
      </c>
      <c r="B82" s="159" t="s">
        <v>101</v>
      </c>
      <c r="C82" s="136" t="s">
        <v>8</v>
      </c>
      <c r="D82" s="139">
        <v>20</v>
      </c>
      <c r="E82" s="137">
        <f>BPU!D86</f>
        <v>0</v>
      </c>
      <c r="F82" s="165">
        <f t="shared" si="7"/>
        <v>0</v>
      </c>
    </row>
    <row r="83" spans="1:6" x14ac:dyDescent="0.25">
      <c r="A83" s="142" t="s">
        <v>42</v>
      </c>
      <c r="B83" s="160" t="s">
        <v>47</v>
      </c>
      <c r="C83" s="136"/>
      <c r="D83" s="139"/>
      <c r="E83" s="137"/>
      <c r="F83" s="165">
        <f t="shared" si="7"/>
        <v>0</v>
      </c>
    </row>
    <row r="84" spans="1:6" x14ac:dyDescent="0.25">
      <c r="A84" s="146" t="s">
        <v>56</v>
      </c>
      <c r="B84" s="158" t="s">
        <v>48</v>
      </c>
      <c r="C84" s="136" t="s">
        <v>8</v>
      </c>
      <c r="D84" s="139">
        <v>1</v>
      </c>
      <c r="E84" s="137">
        <f>BPU!D88</f>
        <v>0</v>
      </c>
      <c r="F84" s="165">
        <f t="shared" si="7"/>
        <v>0</v>
      </c>
    </row>
    <row r="85" spans="1:6" x14ac:dyDescent="0.25">
      <c r="A85" s="142" t="s">
        <v>102</v>
      </c>
      <c r="B85" s="156" t="s">
        <v>103</v>
      </c>
      <c r="C85" s="136" t="s">
        <v>73</v>
      </c>
      <c r="D85" s="139">
        <v>1</v>
      </c>
      <c r="E85" s="137">
        <f>BPU!D89</f>
        <v>0</v>
      </c>
      <c r="F85" s="165">
        <f t="shared" si="7"/>
        <v>0</v>
      </c>
    </row>
    <row r="86" spans="1:6" x14ac:dyDescent="0.25">
      <c r="A86" s="245" t="s">
        <v>100</v>
      </c>
      <c r="B86" s="245"/>
      <c r="C86" s="140"/>
      <c r="D86" s="140"/>
      <c r="E86" s="141"/>
      <c r="F86" s="174">
        <f>SUM(F75:F85)</f>
        <v>0</v>
      </c>
    </row>
    <row r="87" spans="1:6" x14ac:dyDescent="0.25">
      <c r="A87" s="142" t="s">
        <v>223</v>
      </c>
      <c r="B87" s="155" t="s">
        <v>236</v>
      </c>
      <c r="C87" s="153"/>
      <c r="D87" s="154"/>
      <c r="E87" s="161"/>
      <c r="F87" s="165"/>
    </row>
    <row r="88" spans="1:6" x14ac:dyDescent="0.25">
      <c r="A88" s="142" t="s">
        <v>224</v>
      </c>
      <c r="B88" s="160" t="s">
        <v>93</v>
      </c>
      <c r="C88" s="153"/>
      <c r="D88" s="154"/>
      <c r="E88" s="161"/>
      <c r="F88" s="165"/>
    </row>
    <row r="89" spans="1:6" ht="16.2" x14ac:dyDescent="0.25">
      <c r="A89" s="138" t="s">
        <v>225</v>
      </c>
      <c r="B89" s="156" t="s">
        <v>95</v>
      </c>
      <c r="C89" s="136" t="s">
        <v>362</v>
      </c>
      <c r="D89" s="139">
        <v>28.3</v>
      </c>
      <c r="E89" s="161">
        <f>BPU!D92</f>
        <v>0</v>
      </c>
      <c r="F89" s="165">
        <f>+E89*D89</f>
        <v>0</v>
      </c>
    </row>
    <row r="90" spans="1:6" ht="16.2" x14ac:dyDescent="0.25">
      <c r="A90" s="18" t="s">
        <v>226</v>
      </c>
      <c r="B90" s="55" t="s">
        <v>408</v>
      </c>
      <c r="C90" s="16" t="s">
        <v>275</v>
      </c>
      <c r="D90" s="31">
        <f>6.28*0.4*0.4</f>
        <v>1.0048000000000001</v>
      </c>
      <c r="E90" s="59">
        <f>BPU!D93</f>
        <v>0</v>
      </c>
      <c r="F90" s="65">
        <f t="shared" ref="F90:F95" si="8">+E90*D90</f>
        <v>0</v>
      </c>
    </row>
    <row r="91" spans="1:6" ht="16.2" x14ac:dyDescent="0.25">
      <c r="A91" s="138" t="s">
        <v>227</v>
      </c>
      <c r="B91" s="156" t="s">
        <v>409</v>
      </c>
      <c r="C91" s="136" t="s">
        <v>360</v>
      </c>
      <c r="D91" s="162">
        <f>3*3.14*0.4*1.8</f>
        <v>6.7824000000000009</v>
      </c>
      <c r="E91" s="161">
        <f>+BPU!D94</f>
        <v>0</v>
      </c>
      <c r="F91" s="165">
        <f t="shared" si="8"/>
        <v>0</v>
      </c>
    </row>
    <row r="92" spans="1:6" ht="16.2" x14ac:dyDescent="0.25">
      <c r="A92" s="138" t="s">
        <v>228</v>
      </c>
      <c r="B92" s="156" t="s">
        <v>231</v>
      </c>
      <c r="C92" s="136" t="s">
        <v>362</v>
      </c>
      <c r="D92" s="139">
        <v>15.4</v>
      </c>
      <c r="E92" s="161">
        <f>+BPU!D95</f>
        <v>0</v>
      </c>
      <c r="F92" s="165">
        <f t="shared" si="8"/>
        <v>0</v>
      </c>
    </row>
    <row r="93" spans="1:6" x14ac:dyDescent="0.25">
      <c r="A93" s="138" t="s">
        <v>229</v>
      </c>
      <c r="B93" s="156" t="s">
        <v>92</v>
      </c>
      <c r="C93" s="136" t="s">
        <v>8</v>
      </c>
      <c r="D93" s="139">
        <v>1</v>
      </c>
      <c r="E93" s="161">
        <f>+BPU!D96</f>
        <v>0</v>
      </c>
      <c r="F93" s="165">
        <f t="shared" si="8"/>
        <v>0</v>
      </c>
    </row>
    <row r="94" spans="1:6" ht="27.6" x14ac:dyDescent="0.25">
      <c r="A94" s="40" t="s">
        <v>229</v>
      </c>
      <c r="B94" s="163" t="s">
        <v>96</v>
      </c>
      <c r="C94" s="106" t="s">
        <v>9</v>
      </c>
      <c r="D94" s="139">
        <v>1</v>
      </c>
      <c r="E94" s="161">
        <f>BPU!D97</f>
        <v>0</v>
      </c>
      <c r="F94" s="165">
        <f t="shared" si="8"/>
        <v>0</v>
      </c>
    </row>
    <row r="95" spans="1:6" x14ac:dyDescent="0.25">
      <c r="A95" s="146" t="s">
        <v>230</v>
      </c>
      <c r="B95" s="159" t="s">
        <v>222</v>
      </c>
      <c r="C95" s="136" t="s">
        <v>2</v>
      </c>
      <c r="D95" s="159">
        <v>12</v>
      </c>
      <c r="E95" s="164">
        <f>BPU!D98</f>
        <v>0</v>
      </c>
      <c r="F95" s="165">
        <f t="shared" si="8"/>
        <v>0</v>
      </c>
    </row>
    <row r="96" spans="1:6" x14ac:dyDescent="0.25">
      <c r="A96" s="245" t="s">
        <v>105</v>
      </c>
      <c r="B96" s="245"/>
      <c r="C96" s="140"/>
      <c r="D96" s="140"/>
      <c r="E96" s="141"/>
      <c r="F96" s="174">
        <f>SUM(F89:F95)</f>
        <v>0</v>
      </c>
    </row>
    <row r="97" spans="1:6" x14ac:dyDescent="0.25">
      <c r="A97" s="146" t="s">
        <v>300</v>
      </c>
      <c r="B97" s="160" t="s">
        <v>62</v>
      </c>
      <c r="C97" s="136"/>
      <c r="D97" s="139"/>
      <c r="E97" s="137"/>
      <c r="F97" s="165"/>
    </row>
    <row r="98" spans="1:6" x14ac:dyDescent="0.25">
      <c r="A98" s="146" t="s">
        <v>65</v>
      </c>
      <c r="B98" s="156" t="s">
        <v>63</v>
      </c>
      <c r="C98" s="136" t="s">
        <v>2</v>
      </c>
      <c r="D98" s="139">
        <v>46</v>
      </c>
      <c r="E98" s="137">
        <f>BPU!D100</f>
        <v>0</v>
      </c>
      <c r="F98" s="165">
        <f>+E98*D98</f>
        <v>0</v>
      </c>
    </row>
    <row r="99" spans="1:6" x14ac:dyDescent="0.25">
      <c r="A99" s="245" t="s">
        <v>106</v>
      </c>
      <c r="B99" s="245"/>
      <c r="C99" s="140"/>
      <c r="D99" s="140"/>
      <c r="E99" s="141"/>
      <c r="F99" s="174">
        <f>SUM(F98:F98)</f>
        <v>0</v>
      </c>
    </row>
    <row r="100" spans="1:6" x14ac:dyDescent="0.25">
      <c r="A100" s="188" t="s">
        <v>265</v>
      </c>
      <c r="B100" s="188" t="s">
        <v>261</v>
      </c>
      <c r="C100" s="189"/>
      <c r="D100" s="201"/>
      <c r="E100" s="202"/>
      <c r="F100" s="165"/>
    </row>
    <row r="101" spans="1:6" x14ac:dyDescent="0.25">
      <c r="A101" s="148" t="s">
        <v>266</v>
      </c>
      <c r="B101" s="166" t="s">
        <v>262</v>
      </c>
      <c r="C101" s="148"/>
      <c r="D101" s="148"/>
      <c r="E101" s="148"/>
      <c r="F101" s="148"/>
    </row>
    <row r="102" spans="1:6" x14ac:dyDescent="0.25">
      <c r="A102" s="148" t="s">
        <v>333</v>
      </c>
      <c r="B102" s="167" t="s">
        <v>267</v>
      </c>
      <c r="C102" s="148" t="s">
        <v>2</v>
      </c>
      <c r="D102" s="178">
        <v>55</v>
      </c>
      <c r="E102" s="148">
        <f>BPU!D104</f>
        <v>0</v>
      </c>
      <c r="F102" s="148">
        <f>+E102*D102</f>
        <v>0</v>
      </c>
    </row>
    <row r="103" spans="1:6" x14ac:dyDescent="0.25">
      <c r="A103" s="148" t="s">
        <v>332</v>
      </c>
      <c r="B103" s="167" t="s">
        <v>263</v>
      </c>
      <c r="C103" s="148" t="s">
        <v>8</v>
      </c>
      <c r="D103" s="178">
        <v>4</v>
      </c>
      <c r="E103" s="148">
        <f>BPU!D105</f>
        <v>0</v>
      </c>
      <c r="F103" s="148">
        <f t="shared" ref="F103:F104" si="9">+E103*D103</f>
        <v>0</v>
      </c>
    </row>
    <row r="104" spans="1:6" x14ac:dyDescent="0.25">
      <c r="A104" s="148" t="s">
        <v>334</v>
      </c>
      <c r="B104" s="167" t="s">
        <v>264</v>
      </c>
      <c r="C104" s="148" t="s">
        <v>8</v>
      </c>
      <c r="D104" s="178">
        <v>1</v>
      </c>
      <c r="E104" s="148">
        <f>BPU!D106</f>
        <v>0</v>
      </c>
      <c r="F104" s="148">
        <f t="shared" si="9"/>
        <v>0</v>
      </c>
    </row>
    <row r="105" spans="1:6" x14ac:dyDescent="0.25">
      <c r="A105" s="245" t="s">
        <v>268</v>
      </c>
      <c r="B105" s="245"/>
      <c r="C105" s="140"/>
      <c r="D105" s="140"/>
      <c r="E105" s="141"/>
      <c r="F105" s="174">
        <f>SUM(F102:F104)</f>
        <v>0</v>
      </c>
    </row>
    <row r="106" spans="1:6" x14ac:dyDescent="0.25">
      <c r="A106" s="246" t="s">
        <v>389</v>
      </c>
      <c r="B106" s="247"/>
      <c r="C106" s="247"/>
      <c r="D106" s="247"/>
      <c r="E106" s="248"/>
      <c r="F106" s="179">
        <f>+F105+F99+F96+F86+F72+F68+F65+F57+F49+F39+F34+F30+F21+F17+F13+F5</f>
        <v>0</v>
      </c>
    </row>
  </sheetData>
  <mergeCells count="18">
    <mergeCell ref="A1:F1"/>
    <mergeCell ref="A65:B65"/>
    <mergeCell ref="A30:B30"/>
    <mergeCell ref="A5:B5"/>
    <mergeCell ref="A21:B21"/>
    <mergeCell ref="A34:B34"/>
    <mergeCell ref="A105:B105"/>
    <mergeCell ref="A106:E106"/>
    <mergeCell ref="A13:B13"/>
    <mergeCell ref="A17:B17"/>
    <mergeCell ref="A86:B86"/>
    <mergeCell ref="A96:B96"/>
    <mergeCell ref="A39:B39"/>
    <mergeCell ref="A49:B49"/>
    <mergeCell ref="A57:B57"/>
    <mergeCell ref="A68:B68"/>
    <mergeCell ref="A72:B72"/>
    <mergeCell ref="A99:B9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7"/>
  <sheetViews>
    <sheetView topLeftCell="A43" workbookViewId="0">
      <selection activeCell="G61" sqref="G61"/>
    </sheetView>
  </sheetViews>
  <sheetFormatPr baseColWidth="10" defaultColWidth="9.109375" defaultRowHeight="13.8" x14ac:dyDescent="0.25"/>
  <cols>
    <col min="1" max="1" width="10" style="66" customWidth="1"/>
    <col min="2" max="2" width="45.5546875" style="66" customWidth="1"/>
    <col min="3" max="4" width="9.109375" style="66"/>
    <col min="5" max="5" width="13.5546875" style="66" customWidth="1"/>
    <col min="6" max="6" width="20.44140625" style="66" customWidth="1"/>
    <col min="7" max="16384" width="9.109375" style="66"/>
  </cols>
  <sheetData>
    <row r="1" spans="1:7" ht="33.75" customHeight="1" x14ac:dyDescent="0.25">
      <c r="A1" s="253" t="s">
        <v>359</v>
      </c>
      <c r="B1" s="253"/>
      <c r="C1" s="253"/>
      <c r="D1" s="253"/>
      <c r="E1" s="253"/>
      <c r="F1" s="253"/>
      <c r="G1" s="71"/>
    </row>
    <row r="2" spans="1:7" x14ac:dyDescent="0.25">
      <c r="A2" s="41" t="s">
        <v>5</v>
      </c>
      <c r="B2" s="41" t="s">
        <v>157</v>
      </c>
      <c r="C2" s="42" t="s">
        <v>158</v>
      </c>
      <c r="D2" s="42" t="s">
        <v>3</v>
      </c>
      <c r="E2" s="64" t="s">
        <v>159</v>
      </c>
      <c r="F2" s="64" t="s">
        <v>160</v>
      </c>
    </row>
    <row r="3" spans="1:7" x14ac:dyDescent="0.25">
      <c r="A3" s="14" t="s">
        <v>161</v>
      </c>
      <c r="B3" s="236" t="s">
        <v>11</v>
      </c>
      <c r="C3" s="237"/>
      <c r="D3" s="237"/>
      <c r="E3" s="237"/>
      <c r="F3" s="238"/>
    </row>
    <row r="4" spans="1:7" x14ac:dyDescent="0.25">
      <c r="A4" s="15" t="s">
        <v>163</v>
      </c>
      <c r="B4" s="15" t="s">
        <v>164</v>
      </c>
      <c r="C4" s="48" t="s">
        <v>4</v>
      </c>
      <c r="D4" s="48">
        <v>1</v>
      </c>
      <c r="E4" s="72">
        <f>+BPU!D5</f>
        <v>0</v>
      </c>
      <c r="F4" s="65">
        <f t="shared" ref="F4" si="0">+E4*D4</f>
        <v>0</v>
      </c>
    </row>
    <row r="5" spans="1:7" ht="15.75" customHeight="1" x14ac:dyDescent="0.25">
      <c r="A5" s="239" t="s">
        <v>74</v>
      </c>
      <c r="B5" s="240"/>
      <c r="C5" s="19"/>
      <c r="D5" s="19"/>
      <c r="E5" s="26"/>
      <c r="F5" s="38">
        <f>SUM(F4:F4)</f>
        <v>0</v>
      </c>
    </row>
    <row r="6" spans="1:7" ht="15.75" customHeight="1" x14ac:dyDescent="0.25">
      <c r="A6" s="73" t="s">
        <v>314</v>
      </c>
      <c r="B6" s="74" t="s">
        <v>302</v>
      </c>
      <c r="C6" s="75"/>
      <c r="D6" s="76"/>
      <c r="E6" s="77"/>
      <c r="F6" s="65"/>
    </row>
    <row r="7" spans="1:7" ht="27.6" x14ac:dyDescent="0.25">
      <c r="A7" s="138" t="str">
        <f>BPU!A15</f>
        <v>PREP-3</v>
      </c>
      <c r="B7" s="138" t="str">
        <f>BPU!B15</f>
        <v>Desherbage,debroussage et décapage de la terre végétale et nettoyage du terrain</v>
      </c>
      <c r="C7" s="218" t="s">
        <v>1</v>
      </c>
      <c r="D7" s="139">
        <f>4.5*8.5</f>
        <v>38.25</v>
      </c>
      <c r="E7" s="165">
        <f>BPU!D15</f>
        <v>0</v>
      </c>
      <c r="F7" s="165">
        <f>+E7*D7</f>
        <v>0</v>
      </c>
    </row>
    <row r="8" spans="1:7" ht="15" customHeight="1" x14ac:dyDescent="0.25">
      <c r="A8" s="239" t="s">
        <v>75</v>
      </c>
      <c r="B8" s="240"/>
      <c r="C8" s="19"/>
      <c r="D8" s="19"/>
      <c r="E8" s="26"/>
      <c r="F8" s="38">
        <f>SUM(F7:F7)</f>
        <v>0</v>
      </c>
    </row>
    <row r="9" spans="1:7" x14ac:dyDescent="0.25">
      <c r="A9" s="73" t="s">
        <v>109</v>
      </c>
      <c r="B9" s="74" t="s">
        <v>110</v>
      </c>
      <c r="C9" s="75"/>
      <c r="D9" s="76"/>
      <c r="E9" s="77"/>
      <c r="F9" s="65"/>
    </row>
    <row r="10" spans="1:7" x14ac:dyDescent="0.25">
      <c r="A10" s="53" t="s">
        <v>61</v>
      </c>
      <c r="B10" s="18" t="s">
        <v>182</v>
      </c>
      <c r="C10" s="16" t="s">
        <v>8</v>
      </c>
      <c r="D10" s="31">
        <f>+D7*0.2</f>
        <v>7.65</v>
      </c>
      <c r="E10" s="65">
        <f>+BPU!D18</f>
        <v>0</v>
      </c>
      <c r="F10" s="65">
        <f>+E10*D10</f>
        <v>0</v>
      </c>
    </row>
    <row r="11" spans="1:7" x14ac:dyDescent="0.25">
      <c r="A11" s="239" t="s">
        <v>76</v>
      </c>
      <c r="B11" s="240"/>
      <c r="C11" s="19"/>
      <c r="D11" s="19"/>
      <c r="E11" s="26"/>
      <c r="F11" s="38">
        <f>SUM(F9:F10)</f>
        <v>0</v>
      </c>
    </row>
    <row r="12" spans="1:7" x14ac:dyDescent="0.25">
      <c r="A12" s="116"/>
      <c r="B12" s="118" t="s">
        <v>298</v>
      </c>
      <c r="C12" s="111"/>
      <c r="D12" s="117"/>
      <c r="E12" s="52"/>
      <c r="F12" s="65"/>
    </row>
    <row r="13" spans="1:7" ht="16.2" x14ac:dyDescent="0.25">
      <c r="A13" s="18" t="s">
        <v>321</v>
      </c>
      <c r="B13" s="78" t="s">
        <v>111</v>
      </c>
      <c r="C13" s="48" t="s">
        <v>275</v>
      </c>
      <c r="D13" s="80">
        <f>9.5*7.5*0.5</f>
        <v>35.625</v>
      </c>
      <c r="E13" s="72">
        <f>+BPU!D21</f>
        <v>0</v>
      </c>
      <c r="F13" s="65">
        <f>+E13*D13</f>
        <v>0</v>
      </c>
    </row>
    <row r="14" spans="1:7" ht="16.2" x14ac:dyDescent="0.25">
      <c r="A14" s="18" t="s">
        <v>322</v>
      </c>
      <c r="B14" s="15" t="s">
        <v>408</v>
      </c>
      <c r="C14" s="48" t="s">
        <v>275</v>
      </c>
      <c r="D14" s="233">
        <v>4.2</v>
      </c>
      <c r="E14" s="65">
        <f>BPU!D22</f>
        <v>0</v>
      </c>
      <c r="F14" s="65">
        <f>+E14*D14</f>
        <v>0</v>
      </c>
    </row>
    <row r="15" spans="1:7" ht="15.75" customHeight="1" x14ac:dyDescent="0.25">
      <c r="A15" s="239" t="s">
        <v>77</v>
      </c>
      <c r="B15" s="240"/>
      <c r="C15" s="19"/>
      <c r="D15" s="19"/>
      <c r="E15" s="26"/>
      <c r="F15" s="38">
        <f>SUM(F13:F14)</f>
        <v>0</v>
      </c>
    </row>
    <row r="16" spans="1:7" x14ac:dyDescent="0.25">
      <c r="A16" s="73" t="s">
        <v>12</v>
      </c>
      <c r="B16" s="74" t="s">
        <v>112</v>
      </c>
      <c r="C16" s="75"/>
      <c r="D16" s="76"/>
      <c r="E16" s="77"/>
      <c r="F16" s="65"/>
    </row>
    <row r="17" spans="1:6" x14ac:dyDescent="0.25">
      <c r="A17" s="73" t="s">
        <v>67</v>
      </c>
      <c r="B17" s="74" t="s">
        <v>114</v>
      </c>
      <c r="C17" s="79"/>
      <c r="D17" s="80"/>
      <c r="E17" s="72"/>
      <c r="F17" s="65"/>
    </row>
    <row r="18" spans="1:6" x14ac:dyDescent="0.25">
      <c r="A18" s="81" t="s">
        <v>323</v>
      </c>
      <c r="B18" s="78" t="s">
        <v>113</v>
      </c>
      <c r="C18" s="79" t="s">
        <v>81</v>
      </c>
      <c r="D18" s="80">
        <f>8.5*4.5*0.03</f>
        <v>1.1475</v>
      </c>
      <c r="E18" s="72">
        <f>BPU!D25</f>
        <v>0</v>
      </c>
      <c r="F18" s="65">
        <f>+E18*D18</f>
        <v>0</v>
      </c>
    </row>
    <row r="19" spans="1:6" x14ac:dyDescent="0.25">
      <c r="A19" s="81" t="str">
        <f>BPU!A28</f>
        <v>BET-1-4</v>
      </c>
      <c r="B19" s="78" t="s">
        <v>399</v>
      </c>
      <c r="C19" s="79" t="s">
        <v>81</v>
      </c>
      <c r="D19" s="80">
        <f>4.5*5.5*0.04</f>
        <v>0.99</v>
      </c>
      <c r="E19" s="72">
        <f>BPU!D28</f>
        <v>0</v>
      </c>
      <c r="F19" s="65">
        <f t="shared" ref="F19:F25" si="1">+E19*D19</f>
        <v>0</v>
      </c>
    </row>
    <row r="20" spans="1:6" x14ac:dyDescent="0.25">
      <c r="A20" s="73" t="s">
        <v>341</v>
      </c>
      <c r="B20" s="74" t="s">
        <v>115</v>
      </c>
      <c r="C20" s="75"/>
      <c r="D20" s="80"/>
      <c r="E20" s="72"/>
      <c r="F20" s="65"/>
    </row>
    <row r="21" spans="1:6" x14ac:dyDescent="0.25">
      <c r="A21" s="81" t="s">
        <v>326</v>
      </c>
      <c r="B21" s="78" t="s">
        <v>117</v>
      </c>
      <c r="C21" s="79" t="s">
        <v>81</v>
      </c>
      <c r="D21" s="80">
        <v>1.56</v>
      </c>
      <c r="E21" s="72">
        <f>BPU!D31</f>
        <v>0</v>
      </c>
      <c r="F21" s="65">
        <f>+E21*D21</f>
        <v>0</v>
      </c>
    </row>
    <row r="22" spans="1:6" x14ac:dyDescent="0.25">
      <c r="A22" s="81" t="s">
        <v>342</v>
      </c>
      <c r="B22" s="78" t="s">
        <v>116</v>
      </c>
      <c r="C22" s="79" t="s">
        <v>81</v>
      </c>
      <c r="D22" s="80">
        <v>2.02</v>
      </c>
      <c r="E22" s="72">
        <f>BPU!D30</f>
        <v>0</v>
      </c>
      <c r="F22" s="65">
        <f t="shared" si="1"/>
        <v>0</v>
      </c>
    </row>
    <row r="23" spans="1:6" x14ac:dyDescent="0.25">
      <c r="A23" s="81" t="s">
        <v>343</v>
      </c>
      <c r="B23" s="78" t="s">
        <v>187</v>
      </c>
      <c r="C23" s="79" t="s">
        <v>81</v>
      </c>
      <c r="D23" s="80">
        <v>1.56</v>
      </c>
      <c r="E23" s="72">
        <f>+BPU!D32</f>
        <v>0</v>
      </c>
      <c r="F23" s="65">
        <f t="shared" si="1"/>
        <v>0</v>
      </c>
    </row>
    <row r="24" spans="1:6" x14ac:dyDescent="0.25">
      <c r="A24" s="81" t="s">
        <v>344</v>
      </c>
      <c r="B24" s="78" t="s">
        <v>118</v>
      </c>
      <c r="C24" s="79" t="s">
        <v>81</v>
      </c>
      <c r="D24" s="80">
        <v>2.15</v>
      </c>
      <c r="E24" s="72">
        <f>+BPU!D33</f>
        <v>0</v>
      </c>
      <c r="F24" s="65">
        <f t="shared" si="1"/>
        <v>0</v>
      </c>
    </row>
    <row r="25" spans="1:6" x14ac:dyDescent="0.25">
      <c r="A25" s="81" t="s">
        <v>401</v>
      </c>
      <c r="B25" s="78" t="s">
        <v>119</v>
      </c>
      <c r="C25" s="79" t="s">
        <v>81</v>
      </c>
      <c r="D25" s="80">
        <v>0.12</v>
      </c>
      <c r="E25" s="72">
        <f>+BPU!D34</f>
        <v>0</v>
      </c>
      <c r="F25" s="65">
        <f t="shared" si="1"/>
        <v>0</v>
      </c>
    </row>
    <row r="26" spans="1:6" ht="15.75" customHeight="1" x14ac:dyDescent="0.25">
      <c r="A26" s="239" t="s">
        <v>78</v>
      </c>
      <c r="B26" s="240"/>
      <c r="C26" s="19"/>
      <c r="D26" s="19"/>
      <c r="E26" s="26"/>
      <c r="F26" s="38">
        <f>SUM(F18:F25)</f>
        <v>0</v>
      </c>
    </row>
    <row r="27" spans="1:6" x14ac:dyDescent="0.25">
      <c r="A27" s="73" t="s">
        <v>120</v>
      </c>
      <c r="B27" s="74" t="s">
        <v>14</v>
      </c>
      <c r="C27" s="79"/>
      <c r="D27" s="80"/>
      <c r="E27" s="72"/>
      <c r="F27" s="65"/>
    </row>
    <row r="28" spans="1:6" x14ac:dyDescent="0.25">
      <c r="A28" s="81" t="s">
        <v>69</v>
      </c>
      <c r="B28" s="78" t="s">
        <v>410</v>
      </c>
      <c r="C28" s="79" t="s">
        <v>81</v>
      </c>
      <c r="D28" s="80">
        <v>1.92</v>
      </c>
      <c r="E28" s="72">
        <f>BPU!D36</f>
        <v>0</v>
      </c>
      <c r="F28" s="65">
        <f>+E28*D28</f>
        <v>0</v>
      </c>
    </row>
    <row r="29" spans="1:6" ht="13.2" customHeight="1" x14ac:dyDescent="0.25">
      <c r="A29" s="81" t="s">
        <v>70</v>
      </c>
      <c r="B29" s="78" t="s">
        <v>121</v>
      </c>
      <c r="C29" s="79" t="s">
        <v>81</v>
      </c>
      <c r="D29" s="80">
        <f>10.5*4.5*0.25</f>
        <v>11.8125</v>
      </c>
      <c r="E29" s="72">
        <f>+BPU!D37</f>
        <v>0</v>
      </c>
      <c r="F29" s="65">
        <f>+E29*D29</f>
        <v>0</v>
      </c>
    </row>
    <row r="30" spans="1:6" x14ac:dyDescent="0.25">
      <c r="A30" s="81" t="s">
        <v>406</v>
      </c>
      <c r="B30" s="78" t="s">
        <v>16</v>
      </c>
      <c r="C30" s="79" t="s">
        <v>1</v>
      </c>
      <c r="D30" s="80">
        <f>8.5*4.75</f>
        <v>40.375</v>
      </c>
      <c r="E30" s="72">
        <f>+BPU!D38</f>
        <v>0</v>
      </c>
      <c r="F30" s="65">
        <f>+E30*D30</f>
        <v>0</v>
      </c>
    </row>
    <row r="31" spans="1:6" ht="15.75" customHeight="1" x14ac:dyDescent="0.25">
      <c r="A31" s="239" t="s">
        <v>79</v>
      </c>
      <c r="B31" s="240"/>
      <c r="C31" s="19"/>
      <c r="D31" s="19"/>
      <c r="E31" s="26"/>
      <c r="F31" s="38">
        <f>SUM(F28:F30)</f>
        <v>0</v>
      </c>
    </row>
    <row r="32" spans="1:6" x14ac:dyDescent="0.25">
      <c r="A32" s="73" t="s">
        <v>122</v>
      </c>
      <c r="B32" s="74" t="s">
        <v>18</v>
      </c>
      <c r="C32" s="79"/>
      <c r="D32" s="80"/>
      <c r="E32" s="72"/>
      <c r="F32" s="65"/>
    </row>
    <row r="33" spans="1:6" x14ac:dyDescent="0.25">
      <c r="A33" s="81" t="s">
        <v>123</v>
      </c>
      <c r="B33" s="78" t="s">
        <v>124</v>
      </c>
      <c r="C33" s="79" t="s">
        <v>2</v>
      </c>
      <c r="D33" s="80">
        <v>39</v>
      </c>
      <c r="E33" s="72">
        <f>BPU!D40</f>
        <v>0</v>
      </c>
      <c r="F33" s="65">
        <f>+E33*D33</f>
        <v>0</v>
      </c>
    </row>
    <row r="34" spans="1:6" x14ac:dyDescent="0.25">
      <c r="A34" s="81" t="s">
        <v>125</v>
      </c>
      <c r="B34" s="78" t="s">
        <v>126</v>
      </c>
      <c r="C34" s="79" t="s">
        <v>1</v>
      </c>
      <c r="D34" s="80">
        <v>135</v>
      </c>
      <c r="E34" s="72">
        <f>BPU!D41</f>
        <v>0</v>
      </c>
      <c r="F34" s="65">
        <f t="shared" ref="F34:F35" si="2">+E34*D34</f>
        <v>0</v>
      </c>
    </row>
    <row r="35" spans="1:6" x14ac:dyDescent="0.25">
      <c r="A35" s="81" t="s">
        <v>201</v>
      </c>
      <c r="B35" s="78" t="s">
        <v>127</v>
      </c>
      <c r="C35" s="79" t="s">
        <v>81</v>
      </c>
      <c r="D35" s="82">
        <f>35*0.3*2</f>
        <v>21</v>
      </c>
      <c r="E35" s="83">
        <f>BPU!D42</f>
        <v>0</v>
      </c>
      <c r="F35" s="65">
        <f t="shared" si="2"/>
        <v>0</v>
      </c>
    </row>
    <row r="36" spans="1:6" ht="15.75" customHeight="1" x14ac:dyDescent="0.25">
      <c r="A36" s="239" t="s">
        <v>80</v>
      </c>
      <c r="B36" s="240"/>
      <c r="C36" s="19"/>
      <c r="D36" s="19"/>
      <c r="E36" s="26"/>
      <c r="F36" s="38">
        <f>SUM(F33:F35)</f>
        <v>0</v>
      </c>
    </row>
    <row r="37" spans="1:6" x14ac:dyDescent="0.25">
      <c r="A37" s="73" t="s">
        <v>19</v>
      </c>
      <c r="B37" s="74" t="s">
        <v>128</v>
      </c>
      <c r="C37" s="79"/>
      <c r="D37" s="80"/>
      <c r="E37" s="72"/>
      <c r="F37" s="65"/>
    </row>
    <row r="38" spans="1:6" x14ac:dyDescent="0.25">
      <c r="A38" s="73" t="s">
        <v>129</v>
      </c>
      <c r="B38" s="74" t="s">
        <v>130</v>
      </c>
      <c r="C38" s="79"/>
      <c r="D38" s="80"/>
      <c r="E38" s="72"/>
      <c r="F38" s="65"/>
    </row>
    <row r="39" spans="1:6" ht="27.6" x14ac:dyDescent="0.25">
      <c r="A39" s="81" t="s">
        <v>131</v>
      </c>
      <c r="B39" s="78" t="s">
        <v>132</v>
      </c>
      <c r="C39" s="79" t="s">
        <v>1</v>
      </c>
      <c r="D39" s="80">
        <f>+(0.2*0.2*2.5*12)+(0.2*0.2*39*2)+2</f>
        <v>6.32</v>
      </c>
      <c r="E39" s="72">
        <f>BPU!D46</f>
        <v>0</v>
      </c>
      <c r="F39" s="65">
        <f>+E39*D39</f>
        <v>0</v>
      </c>
    </row>
    <row r="40" spans="1:6" x14ac:dyDescent="0.25">
      <c r="A40" s="81" t="s">
        <v>134</v>
      </c>
      <c r="B40" s="78" t="s">
        <v>191</v>
      </c>
      <c r="C40" s="79" t="s">
        <v>1</v>
      </c>
      <c r="D40" s="80">
        <v>102.5</v>
      </c>
      <c r="E40" s="72">
        <f>BPU!D47</f>
        <v>0</v>
      </c>
      <c r="F40" s="65">
        <f t="shared" ref="F40:F44" si="3">+E40*D40</f>
        <v>0</v>
      </c>
    </row>
    <row r="41" spans="1:6" x14ac:dyDescent="0.25">
      <c r="A41" s="81" t="s">
        <v>135</v>
      </c>
      <c r="B41" s="135" t="s">
        <v>306</v>
      </c>
      <c r="C41" s="79" t="s">
        <v>2</v>
      </c>
      <c r="D41" s="80">
        <v>42</v>
      </c>
      <c r="E41" s="72">
        <f>BPU!D48</f>
        <v>0</v>
      </c>
      <c r="F41" s="65">
        <f t="shared" si="3"/>
        <v>0</v>
      </c>
    </row>
    <row r="42" spans="1:6" x14ac:dyDescent="0.25">
      <c r="A42" s="73" t="s">
        <v>136</v>
      </c>
      <c r="B42" s="74" t="s">
        <v>137</v>
      </c>
      <c r="C42" s="79"/>
      <c r="D42" s="80"/>
      <c r="E42" s="72"/>
      <c r="F42" s="65">
        <f t="shared" si="3"/>
        <v>0</v>
      </c>
    </row>
    <row r="43" spans="1:6" x14ac:dyDescent="0.25">
      <c r="A43" s="81" t="s">
        <v>138</v>
      </c>
      <c r="B43" s="78" t="s">
        <v>139</v>
      </c>
      <c r="C43" s="79" t="s">
        <v>1</v>
      </c>
      <c r="D43" s="80">
        <f>4.5*5.5</f>
        <v>24.75</v>
      </c>
      <c r="E43" s="72">
        <f>BPU!D51</f>
        <v>0</v>
      </c>
      <c r="F43" s="65">
        <f t="shared" si="3"/>
        <v>0</v>
      </c>
    </row>
    <row r="44" spans="1:6" x14ac:dyDescent="0.25">
      <c r="A44" s="81" t="s">
        <v>140</v>
      </c>
      <c r="B44" s="78" t="s">
        <v>141</v>
      </c>
      <c r="C44" s="79" t="s">
        <v>1</v>
      </c>
      <c r="D44" s="80">
        <f>27.6*0.8</f>
        <v>22.080000000000002</v>
      </c>
      <c r="E44" s="72">
        <f>BPU!D52</f>
        <v>0</v>
      </c>
      <c r="F44" s="65">
        <f t="shared" si="3"/>
        <v>0</v>
      </c>
    </row>
    <row r="45" spans="1:6" ht="15.75" customHeight="1" x14ac:dyDescent="0.25">
      <c r="A45" s="239" t="s">
        <v>97</v>
      </c>
      <c r="B45" s="240"/>
      <c r="C45" s="19"/>
      <c r="D45" s="19"/>
      <c r="E45" s="26"/>
      <c r="F45" s="38">
        <f>SUM(F39:F44)</f>
        <v>0</v>
      </c>
    </row>
    <row r="46" spans="1:6" x14ac:dyDescent="0.25">
      <c r="A46" s="73" t="s">
        <v>142</v>
      </c>
      <c r="B46" s="74" t="s">
        <v>143</v>
      </c>
      <c r="C46" s="79"/>
      <c r="D46" s="80"/>
      <c r="E46" s="72"/>
      <c r="F46" s="65"/>
    </row>
    <row r="47" spans="1:6" x14ac:dyDescent="0.25">
      <c r="A47" s="81" t="s">
        <v>172</v>
      </c>
      <c r="B47" s="78" t="s">
        <v>145</v>
      </c>
      <c r="C47" s="79" t="s">
        <v>2</v>
      </c>
      <c r="D47" s="80">
        <f>2.7*3*2*2</f>
        <v>32.400000000000006</v>
      </c>
      <c r="E47" s="72">
        <f>+BPU!D55</f>
        <v>0</v>
      </c>
      <c r="F47" s="65">
        <f>+E47*D47</f>
        <v>0</v>
      </c>
    </row>
    <row r="48" spans="1:6" x14ac:dyDescent="0.25">
      <c r="A48" s="81" t="s">
        <v>345</v>
      </c>
      <c r="B48" s="78" t="s">
        <v>238</v>
      </c>
      <c r="C48" s="79" t="s">
        <v>2</v>
      </c>
      <c r="D48" s="80">
        <f>6.3*8</f>
        <v>50.4</v>
      </c>
      <c r="E48" s="72">
        <f>BPU!D56</f>
        <v>0</v>
      </c>
      <c r="F48" s="65">
        <f t="shared" ref="F48:F52" si="4">+E48*D48</f>
        <v>0</v>
      </c>
    </row>
    <row r="49" spans="1:6" x14ac:dyDescent="0.25">
      <c r="A49" s="81" t="s">
        <v>202</v>
      </c>
      <c r="B49" s="78" t="s">
        <v>188</v>
      </c>
      <c r="C49" s="79" t="s">
        <v>1</v>
      </c>
      <c r="D49" s="80">
        <f>6.6*8.9</f>
        <v>58.74</v>
      </c>
      <c r="E49" s="72">
        <f>BPU!D57</f>
        <v>0</v>
      </c>
      <c r="F49" s="65">
        <f t="shared" si="4"/>
        <v>0</v>
      </c>
    </row>
    <row r="50" spans="1:6" x14ac:dyDescent="0.25">
      <c r="A50" s="81" t="s">
        <v>146</v>
      </c>
      <c r="B50" s="78" t="s">
        <v>148</v>
      </c>
      <c r="C50" s="79" t="s">
        <v>2</v>
      </c>
      <c r="D50" s="80">
        <f>6.3*2</f>
        <v>12.6</v>
      </c>
      <c r="E50" s="72">
        <f>BPU!D58</f>
        <v>0</v>
      </c>
      <c r="F50" s="65">
        <f t="shared" si="4"/>
        <v>0</v>
      </c>
    </row>
    <row r="51" spans="1:6" x14ac:dyDescent="0.25">
      <c r="A51" s="81" t="s">
        <v>147</v>
      </c>
      <c r="B51" s="78" t="s">
        <v>150</v>
      </c>
      <c r="C51" s="79" t="s">
        <v>2</v>
      </c>
      <c r="D51" s="80">
        <v>12.6</v>
      </c>
      <c r="E51" s="72">
        <f>BPU!D59</f>
        <v>0</v>
      </c>
      <c r="F51" s="65">
        <f t="shared" si="4"/>
        <v>0</v>
      </c>
    </row>
    <row r="52" spans="1:6" x14ac:dyDescent="0.25">
      <c r="A52" s="81" t="s">
        <v>149</v>
      </c>
      <c r="B52" s="78" t="s">
        <v>151</v>
      </c>
      <c r="C52" s="79" t="s">
        <v>8</v>
      </c>
      <c r="D52" s="80">
        <v>1</v>
      </c>
      <c r="E52" s="72">
        <f>BPU!D60</f>
        <v>0</v>
      </c>
      <c r="F52" s="65">
        <f t="shared" si="4"/>
        <v>0</v>
      </c>
    </row>
    <row r="53" spans="1:6" ht="15.75" customHeight="1" x14ac:dyDescent="0.25">
      <c r="A53" s="239" t="s">
        <v>98</v>
      </c>
      <c r="B53" s="240"/>
      <c r="C53" s="19"/>
      <c r="D53" s="19"/>
      <c r="E53" s="26"/>
      <c r="F53" s="38">
        <f>SUM(F47:F52)</f>
        <v>0</v>
      </c>
    </row>
    <row r="54" spans="1:6" x14ac:dyDescent="0.25">
      <c r="A54" s="73" t="s">
        <v>152</v>
      </c>
      <c r="B54" s="74" t="s">
        <v>153</v>
      </c>
      <c r="C54" s="75"/>
      <c r="D54" s="76"/>
      <c r="E54" s="77"/>
      <c r="F54" s="65"/>
    </row>
    <row r="55" spans="1:6" x14ac:dyDescent="0.25">
      <c r="A55" s="81" t="s">
        <v>154</v>
      </c>
      <c r="B55" s="78" t="s">
        <v>271</v>
      </c>
      <c r="C55" s="79" t="s">
        <v>8</v>
      </c>
      <c r="D55" s="80">
        <v>4</v>
      </c>
      <c r="E55" s="72">
        <f>+BPU!D65</f>
        <v>0</v>
      </c>
      <c r="F55" s="65">
        <f>+E55*D55</f>
        <v>0</v>
      </c>
    </row>
    <row r="56" spans="1:6" ht="15.75" customHeight="1" x14ac:dyDescent="0.25">
      <c r="A56" s="239" t="s">
        <v>99</v>
      </c>
      <c r="B56" s="240"/>
      <c r="C56" s="19"/>
      <c r="D56" s="19"/>
      <c r="E56" s="26"/>
      <c r="F56" s="38">
        <f>SUM(F55)</f>
        <v>0</v>
      </c>
    </row>
    <row r="57" spans="1:6" ht="15.75" customHeight="1" x14ac:dyDescent="0.25">
      <c r="A57" s="241" t="s">
        <v>219</v>
      </c>
      <c r="B57" s="242"/>
      <c r="C57" s="242"/>
      <c r="D57" s="242"/>
      <c r="E57" s="243"/>
      <c r="F57" s="126">
        <f>+F56+F53+F45+F36+F31+F26+F15+F11+F8+F5</f>
        <v>0</v>
      </c>
    </row>
  </sheetData>
  <mergeCells count="13">
    <mergeCell ref="A57:E57"/>
    <mergeCell ref="A36:B36"/>
    <mergeCell ref="A45:B45"/>
    <mergeCell ref="A53:B53"/>
    <mergeCell ref="A56:B56"/>
    <mergeCell ref="A31:B31"/>
    <mergeCell ref="A1:F1"/>
    <mergeCell ref="B3:F3"/>
    <mergeCell ref="A5:B5"/>
    <mergeCell ref="A15:B15"/>
    <mergeCell ref="A26:B26"/>
    <mergeCell ref="A8:B8"/>
    <mergeCell ref="A11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0"/>
  <sheetViews>
    <sheetView zoomScaleNormal="100" workbookViewId="0">
      <selection activeCell="I65" sqref="I65"/>
    </sheetView>
  </sheetViews>
  <sheetFormatPr baseColWidth="10" defaultColWidth="9.109375" defaultRowHeight="13.8" x14ac:dyDescent="0.25"/>
  <cols>
    <col min="1" max="1" width="8.88671875" style="204" customWidth="1"/>
    <col min="2" max="2" width="39.6640625" style="204" customWidth="1"/>
    <col min="3" max="4" width="9.109375" style="204"/>
    <col min="5" max="5" width="12.44140625" style="206" customWidth="1"/>
    <col min="6" max="6" width="17.6640625" style="207" customWidth="1"/>
    <col min="7" max="16384" width="9.109375" style="204"/>
  </cols>
  <sheetData>
    <row r="1" spans="1:7" ht="35.25" customHeight="1" x14ac:dyDescent="0.25">
      <c r="A1" s="253" t="s">
        <v>252</v>
      </c>
      <c r="B1" s="253"/>
      <c r="C1" s="253"/>
      <c r="D1" s="253"/>
      <c r="E1" s="253"/>
      <c r="F1" s="253"/>
      <c r="G1" s="203"/>
    </row>
    <row r="2" spans="1:7" ht="41.4" x14ac:dyDescent="0.25">
      <c r="A2" s="41" t="s">
        <v>5</v>
      </c>
      <c r="B2" s="41" t="s">
        <v>157</v>
      </c>
      <c r="C2" s="42" t="s">
        <v>158</v>
      </c>
      <c r="D2" s="42" t="s">
        <v>3</v>
      </c>
      <c r="E2" s="183" t="s">
        <v>248</v>
      </c>
      <c r="F2" s="122" t="s">
        <v>249</v>
      </c>
    </row>
    <row r="3" spans="1:7" x14ac:dyDescent="0.25">
      <c r="A3" s="185" t="s">
        <v>161</v>
      </c>
      <c r="B3" s="236" t="s">
        <v>11</v>
      </c>
      <c r="C3" s="237"/>
      <c r="D3" s="237"/>
      <c r="E3" s="237"/>
      <c r="F3" s="238"/>
    </row>
    <row r="4" spans="1:7" x14ac:dyDescent="0.25">
      <c r="A4" s="15" t="s">
        <v>163</v>
      </c>
      <c r="B4" s="15" t="s">
        <v>164</v>
      </c>
      <c r="C4" s="16" t="s">
        <v>9</v>
      </c>
      <c r="D4" s="16">
        <v>1</v>
      </c>
      <c r="E4" s="181">
        <f>BPU!D5</f>
        <v>0</v>
      </c>
      <c r="F4" s="65">
        <f t="shared" ref="F4" si="0">+E4*D4</f>
        <v>0</v>
      </c>
    </row>
    <row r="5" spans="1:7" x14ac:dyDescent="0.25">
      <c r="A5" s="239" t="s">
        <v>74</v>
      </c>
      <c r="B5" s="240"/>
      <c r="C5" s="240"/>
      <c r="D5" s="240"/>
      <c r="E5" s="254"/>
      <c r="F5" s="38">
        <f>SUM(F4:F4)</f>
        <v>0</v>
      </c>
    </row>
    <row r="6" spans="1:7" x14ac:dyDescent="0.25">
      <c r="A6" s="115"/>
      <c r="B6" s="128" t="s">
        <v>346</v>
      </c>
      <c r="C6" s="128"/>
      <c r="D6" s="128"/>
      <c r="E6" s="182"/>
      <c r="F6" s="68"/>
    </row>
    <row r="7" spans="1:7" ht="27.6" x14ac:dyDescent="0.25">
      <c r="A7" s="15" t="s">
        <v>205</v>
      </c>
      <c r="B7" s="18" t="str">
        <f>+BPU!B15</f>
        <v>Desherbage,debroussage et décapage de la terre végétale et nettoyage du terrain</v>
      </c>
      <c r="C7" s="48" t="s">
        <v>1</v>
      </c>
      <c r="D7" s="31">
        <f>26.8+56</f>
        <v>82.8</v>
      </c>
      <c r="E7" s="65">
        <f>+BPU!D15</f>
        <v>0</v>
      </c>
      <c r="F7" s="65">
        <f>+E7*D7</f>
        <v>0</v>
      </c>
    </row>
    <row r="8" spans="1:7" x14ac:dyDescent="0.25">
      <c r="A8" s="239" t="s">
        <v>75</v>
      </c>
      <c r="B8" s="240"/>
      <c r="C8" s="240"/>
      <c r="D8" s="240"/>
      <c r="E8" s="254"/>
      <c r="F8" s="38">
        <f>SUM(F6:F7)</f>
        <v>0</v>
      </c>
    </row>
    <row r="9" spans="1:7" x14ac:dyDescent="0.25">
      <c r="A9" s="185" t="s">
        <v>109</v>
      </c>
      <c r="B9" s="185" t="s">
        <v>110</v>
      </c>
      <c r="C9" s="47"/>
      <c r="D9" s="48"/>
      <c r="E9" s="65"/>
      <c r="F9" s="65"/>
    </row>
    <row r="10" spans="1:7" ht="16.2" x14ac:dyDescent="0.25">
      <c r="A10" s="33" t="s">
        <v>61</v>
      </c>
      <c r="B10" s="18" t="s">
        <v>182</v>
      </c>
      <c r="C10" s="16" t="s">
        <v>275</v>
      </c>
      <c r="D10" s="31">
        <f>+D7*0.3</f>
        <v>24.84</v>
      </c>
      <c r="E10" s="68">
        <f>+BPU!D18</f>
        <v>0</v>
      </c>
      <c r="F10" s="68">
        <f>+E10*D10</f>
        <v>0</v>
      </c>
    </row>
    <row r="11" spans="1:7" x14ac:dyDescent="0.25">
      <c r="A11" s="255" t="s">
        <v>76</v>
      </c>
      <c r="B11" s="256"/>
      <c r="C11" s="256"/>
      <c r="D11" s="256"/>
      <c r="E11" s="257"/>
      <c r="F11" s="70">
        <f>SUM(F10)</f>
        <v>0</v>
      </c>
    </row>
    <row r="12" spans="1:7" x14ac:dyDescent="0.25">
      <c r="A12" s="185"/>
      <c r="B12" s="185" t="s">
        <v>298</v>
      </c>
      <c r="C12" s="47"/>
      <c r="D12" s="48"/>
      <c r="E12" s="65"/>
      <c r="F12" s="65"/>
    </row>
    <row r="13" spans="1:7" ht="16.2" x14ac:dyDescent="0.25">
      <c r="A13" s="15" t="s">
        <v>321</v>
      </c>
      <c r="B13" s="15" t="s">
        <v>166</v>
      </c>
      <c r="C13" s="48" t="s">
        <v>275</v>
      </c>
      <c r="D13" s="48">
        <f>34*0.5*0.5</f>
        <v>8.5</v>
      </c>
      <c r="E13" s="65">
        <f>+BPU!D21</f>
        <v>0</v>
      </c>
      <c r="F13" s="65">
        <f>+E13*D13</f>
        <v>0</v>
      </c>
    </row>
    <row r="14" spans="1:7" x14ac:dyDescent="0.25">
      <c r="A14" s="15" t="s">
        <v>321</v>
      </c>
      <c r="B14" s="15" t="s">
        <v>169</v>
      </c>
      <c r="C14" s="48" t="s">
        <v>165</v>
      </c>
      <c r="D14" s="48">
        <f>35*0.4*0.4</f>
        <v>5.6000000000000005</v>
      </c>
      <c r="E14" s="65">
        <f>+BPU!D22</f>
        <v>0</v>
      </c>
      <c r="F14" s="65">
        <f t="shared" ref="F14:F22" si="1">+E14*D14</f>
        <v>0</v>
      </c>
    </row>
    <row r="15" spans="1:7" x14ac:dyDescent="0.25">
      <c r="A15" s="185" t="s">
        <v>12</v>
      </c>
      <c r="B15" s="185" t="s">
        <v>112</v>
      </c>
      <c r="C15" s="47"/>
      <c r="D15" s="48"/>
      <c r="E15" s="65"/>
      <c r="F15" s="65">
        <f t="shared" si="1"/>
        <v>0</v>
      </c>
    </row>
    <row r="16" spans="1:7" x14ac:dyDescent="0.25">
      <c r="A16" s="185" t="s">
        <v>67</v>
      </c>
      <c r="B16" s="185" t="s">
        <v>338</v>
      </c>
      <c r="C16" s="47"/>
      <c r="D16" s="48"/>
      <c r="E16" s="65"/>
      <c r="F16" s="65">
        <f t="shared" si="1"/>
        <v>0</v>
      </c>
    </row>
    <row r="17" spans="1:6" ht="16.2" x14ac:dyDescent="0.25">
      <c r="A17" s="15" t="s">
        <v>323</v>
      </c>
      <c r="B17" s="15" t="s">
        <v>113</v>
      </c>
      <c r="C17" s="48" t="s">
        <v>275</v>
      </c>
      <c r="D17" s="48">
        <f>34*0.4*0.05</f>
        <v>0.68000000000000016</v>
      </c>
      <c r="E17" s="65">
        <f>+BPU!D25</f>
        <v>0</v>
      </c>
      <c r="F17" s="65">
        <f t="shared" si="1"/>
        <v>0</v>
      </c>
    </row>
    <row r="18" spans="1:6" ht="16.2" x14ac:dyDescent="0.25">
      <c r="A18" s="15" t="s">
        <v>347</v>
      </c>
      <c r="B18" s="15" t="s">
        <v>198</v>
      </c>
      <c r="C18" s="48" t="s">
        <v>275</v>
      </c>
      <c r="D18" s="48">
        <f>66*0.07</f>
        <v>4.62</v>
      </c>
      <c r="E18" s="65">
        <f>+BPU!D26</f>
        <v>0</v>
      </c>
      <c r="F18" s="65">
        <f t="shared" si="1"/>
        <v>0</v>
      </c>
    </row>
    <row r="19" spans="1:6" ht="16.2" x14ac:dyDescent="0.25">
      <c r="A19" s="15" t="s">
        <v>348</v>
      </c>
      <c r="B19" s="15" t="s">
        <v>199</v>
      </c>
      <c r="C19" s="48" t="s">
        <v>275</v>
      </c>
      <c r="D19" s="48">
        <f>36.8*0.07</f>
        <v>2.5760000000000001</v>
      </c>
      <c r="E19" s="65">
        <f>+BPU!D27</f>
        <v>0</v>
      </c>
      <c r="F19" s="65">
        <f t="shared" si="1"/>
        <v>0</v>
      </c>
    </row>
    <row r="20" spans="1:6" ht="16.2" x14ac:dyDescent="0.25">
      <c r="A20" s="185" t="s">
        <v>68</v>
      </c>
      <c r="B20" s="185" t="s">
        <v>281</v>
      </c>
      <c r="C20" s="47"/>
      <c r="D20" s="48"/>
      <c r="E20" s="65"/>
      <c r="F20" s="65">
        <f t="shared" si="1"/>
        <v>0</v>
      </c>
    </row>
    <row r="21" spans="1:6" ht="16.2" x14ac:dyDescent="0.25">
      <c r="A21" s="15" t="s">
        <v>349</v>
      </c>
      <c r="B21" s="15" t="s">
        <v>167</v>
      </c>
      <c r="C21" s="48" t="s">
        <v>275</v>
      </c>
      <c r="D21" s="48">
        <f>+(0.6*18*0.2)+(0.2*0.2*7)</f>
        <v>2.4399999999999995</v>
      </c>
      <c r="E21" s="65">
        <f>+BPU!D30</f>
        <v>0</v>
      </c>
      <c r="F21" s="65">
        <f t="shared" si="1"/>
        <v>0</v>
      </c>
    </row>
    <row r="22" spans="1:6" ht="16.2" x14ac:dyDescent="0.25">
      <c r="A22" s="192" t="s">
        <v>342</v>
      </c>
      <c r="B22" s="135" t="s">
        <v>328</v>
      </c>
      <c r="C22" s="48" t="s">
        <v>275</v>
      </c>
      <c r="D22" s="48">
        <f>(0.2*0.2*1*8)+0.68</f>
        <v>1</v>
      </c>
      <c r="E22" s="65">
        <f>+BPU!D31</f>
        <v>0</v>
      </c>
      <c r="F22" s="65">
        <f t="shared" si="1"/>
        <v>0</v>
      </c>
    </row>
    <row r="23" spans="1:6" x14ac:dyDescent="0.25">
      <c r="A23" s="239" t="s">
        <v>76</v>
      </c>
      <c r="B23" s="240"/>
      <c r="C23" s="240"/>
      <c r="D23" s="240"/>
      <c r="E23" s="254"/>
      <c r="F23" s="38">
        <f>SUM(F13:F22)</f>
        <v>0</v>
      </c>
    </row>
    <row r="24" spans="1:6" x14ac:dyDescent="0.25">
      <c r="A24" s="185" t="s">
        <v>120</v>
      </c>
      <c r="B24" s="185" t="s">
        <v>14</v>
      </c>
      <c r="C24" s="47"/>
      <c r="D24" s="48"/>
      <c r="E24" s="65"/>
      <c r="F24" s="65"/>
    </row>
    <row r="25" spans="1:6" ht="16.2" x14ac:dyDescent="0.25">
      <c r="A25" s="15" t="s">
        <v>69</v>
      </c>
      <c r="B25" s="15" t="s">
        <v>410</v>
      </c>
      <c r="C25" s="48" t="s">
        <v>275</v>
      </c>
      <c r="D25" s="48">
        <f>8+7*0.03</f>
        <v>8.2100000000000009</v>
      </c>
      <c r="E25" s="65">
        <f>+BPU!D36</f>
        <v>0</v>
      </c>
      <c r="F25" s="65">
        <f>+E25*D25</f>
        <v>0</v>
      </c>
    </row>
    <row r="26" spans="1:6" ht="16.2" x14ac:dyDescent="0.25">
      <c r="A26" s="15" t="s">
        <v>70</v>
      </c>
      <c r="B26" s="15" t="s">
        <v>156</v>
      </c>
      <c r="C26" s="48" t="s">
        <v>275</v>
      </c>
      <c r="D26" s="48">
        <f>+(9*7)*0.3</f>
        <v>18.899999999999999</v>
      </c>
      <c r="E26" s="65">
        <f>+BPU!D37</f>
        <v>0</v>
      </c>
      <c r="F26" s="65">
        <f>+E26*D26</f>
        <v>0</v>
      </c>
    </row>
    <row r="27" spans="1:6" x14ac:dyDescent="0.25">
      <c r="A27" s="15" t="s">
        <v>406</v>
      </c>
      <c r="B27" s="15" t="s">
        <v>407</v>
      </c>
      <c r="C27" s="48" t="s">
        <v>1</v>
      </c>
      <c r="D27" s="48">
        <v>63</v>
      </c>
      <c r="E27" s="65">
        <f>BPU!D38</f>
        <v>0</v>
      </c>
      <c r="F27" s="65">
        <f>+E27*D27</f>
        <v>0</v>
      </c>
    </row>
    <row r="28" spans="1:6" x14ac:dyDescent="0.25">
      <c r="A28" s="239" t="s">
        <v>77</v>
      </c>
      <c r="B28" s="240"/>
      <c r="C28" s="240"/>
      <c r="D28" s="240"/>
      <c r="E28" s="254"/>
      <c r="F28" s="38">
        <f>SUM(F25:F27)</f>
        <v>0</v>
      </c>
    </row>
    <row r="29" spans="1:6" x14ac:dyDescent="0.25">
      <c r="A29" s="185" t="s">
        <v>122</v>
      </c>
      <c r="B29" s="185" t="s">
        <v>18</v>
      </c>
      <c r="C29" s="47"/>
      <c r="D29" s="48"/>
      <c r="E29" s="65"/>
      <c r="F29" s="65"/>
    </row>
    <row r="30" spans="1:6" ht="27.6" x14ac:dyDescent="0.25">
      <c r="A30" s="15" t="s">
        <v>123</v>
      </c>
      <c r="B30" s="15" t="s">
        <v>168</v>
      </c>
      <c r="C30" s="48" t="s">
        <v>2</v>
      </c>
      <c r="D30" s="48">
        <v>34</v>
      </c>
      <c r="E30" s="65">
        <f>+BPU!D40</f>
        <v>0</v>
      </c>
      <c r="F30" s="65">
        <f>+E30*D30</f>
        <v>0</v>
      </c>
    </row>
    <row r="31" spans="1:6" x14ac:dyDescent="0.25">
      <c r="A31" s="15" t="s">
        <v>125</v>
      </c>
      <c r="B31" s="15" t="s">
        <v>126</v>
      </c>
      <c r="C31" s="48" t="s">
        <v>1</v>
      </c>
      <c r="D31" s="48">
        <f>43*0.5</f>
        <v>21.5</v>
      </c>
      <c r="E31" s="65">
        <f>+BPU!D41</f>
        <v>0</v>
      </c>
      <c r="F31" s="65">
        <f t="shared" ref="F31:F32" si="2">+E31*D31</f>
        <v>0</v>
      </c>
    </row>
    <row r="32" spans="1:6" x14ac:dyDescent="0.25">
      <c r="A32" s="15" t="s">
        <v>201</v>
      </c>
      <c r="B32" s="15" t="s">
        <v>183</v>
      </c>
      <c r="C32" s="48" t="s">
        <v>165</v>
      </c>
      <c r="D32" s="48">
        <f>25*2.6*0.4</f>
        <v>26</v>
      </c>
      <c r="E32" s="65">
        <f>+BPU!D42</f>
        <v>0</v>
      </c>
      <c r="F32" s="65">
        <f t="shared" si="2"/>
        <v>0</v>
      </c>
    </row>
    <row r="33" spans="1:6" x14ac:dyDescent="0.25">
      <c r="A33" s="239" t="s">
        <v>78</v>
      </c>
      <c r="B33" s="240"/>
      <c r="C33" s="240"/>
      <c r="D33" s="240"/>
      <c r="E33" s="254"/>
      <c r="F33" s="38">
        <f>SUM(F30:F32)</f>
        <v>0</v>
      </c>
    </row>
    <row r="34" spans="1:6" x14ac:dyDescent="0.25">
      <c r="A34" s="185" t="s">
        <v>19</v>
      </c>
      <c r="B34" s="185" t="s">
        <v>128</v>
      </c>
      <c r="C34" s="47"/>
      <c r="D34" s="48"/>
      <c r="E34" s="65"/>
      <c r="F34" s="65"/>
    </row>
    <row r="35" spans="1:6" x14ac:dyDescent="0.25">
      <c r="A35" s="185" t="s">
        <v>129</v>
      </c>
      <c r="B35" s="185" t="s">
        <v>170</v>
      </c>
      <c r="C35" s="47"/>
      <c r="D35" s="48"/>
      <c r="E35" s="65"/>
      <c r="F35" s="65"/>
    </row>
    <row r="36" spans="1:6" x14ac:dyDescent="0.25">
      <c r="A36" s="15" t="s">
        <v>131</v>
      </c>
      <c r="B36" s="15" t="s">
        <v>171</v>
      </c>
      <c r="C36" s="48" t="s">
        <v>1</v>
      </c>
      <c r="D36" s="48">
        <f>34*3.5</f>
        <v>119</v>
      </c>
      <c r="E36" s="65">
        <f>+BPU!D46</f>
        <v>0</v>
      </c>
      <c r="F36" s="65">
        <f>+E36*D36</f>
        <v>0</v>
      </c>
    </row>
    <row r="37" spans="1:6" x14ac:dyDescent="0.25">
      <c r="A37" s="15" t="s">
        <v>133</v>
      </c>
      <c r="B37" s="15" t="s">
        <v>184</v>
      </c>
      <c r="C37" s="48" t="s">
        <v>1</v>
      </c>
      <c r="D37" s="48">
        <f>43*2.7</f>
        <v>116.10000000000001</v>
      </c>
      <c r="E37" s="65">
        <f>+BPU!D47</f>
        <v>0</v>
      </c>
      <c r="F37" s="65">
        <f t="shared" ref="F37:F41" si="3">+E37*D37</f>
        <v>0</v>
      </c>
    </row>
    <row r="38" spans="1:6" x14ac:dyDescent="0.25">
      <c r="A38" s="15" t="s">
        <v>134</v>
      </c>
      <c r="B38" s="135" t="s">
        <v>306</v>
      </c>
      <c r="C38" s="48" t="s">
        <v>2</v>
      </c>
      <c r="D38" s="48">
        <v>34</v>
      </c>
      <c r="E38" s="65">
        <f>+BPU!D48</f>
        <v>0</v>
      </c>
      <c r="F38" s="65">
        <f t="shared" si="3"/>
        <v>0</v>
      </c>
    </row>
    <row r="39" spans="1:6" x14ac:dyDescent="0.25">
      <c r="A39" s="15" t="s">
        <v>136</v>
      </c>
      <c r="B39" s="185" t="s">
        <v>27</v>
      </c>
      <c r="C39" s="47"/>
      <c r="D39" s="48"/>
      <c r="E39" s="65"/>
      <c r="F39" s="65">
        <f t="shared" si="3"/>
        <v>0</v>
      </c>
    </row>
    <row r="40" spans="1:6" x14ac:dyDescent="0.25">
      <c r="A40" s="15" t="s">
        <v>138</v>
      </c>
      <c r="B40" s="15" t="s">
        <v>139</v>
      </c>
      <c r="C40" s="48" t="s">
        <v>1</v>
      </c>
      <c r="D40" s="48">
        <v>56</v>
      </c>
      <c r="E40" s="65">
        <f>+BPU!D51</f>
        <v>0</v>
      </c>
      <c r="F40" s="65">
        <f t="shared" si="3"/>
        <v>0</v>
      </c>
    </row>
    <row r="41" spans="1:6" x14ac:dyDescent="0.25">
      <c r="A41" s="15" t="s">
        <v>140</v>
      </c>
      <c r="B41" s="15" t="s">
        <v>141</v>
      </c>
      <c r="C41" s="48" t="s">
        <v>1</v>
      </c>
      <c r="D41" s="48">
        <f>25*0.8</f>
        <v>20</v>
      </c>
      <c r="E41" s="65">
        <f>+BPU!D52</f>
        <v>0</v>
      </c>
      <c r="F41" s="65">
        <f t="shared" si="3"/>
        <v>0</v>
      </c>
    </row>
    <row r="42" spans="1:6" x14ac:dyDescent="0.25">
      <c r="A42" s="239" t="s">
        <v>79</v>
      </c>
      <c r="B42" s="240"/>
      <c r="C42" s="240"/>
      <c r="D42" s="240"/>
      <c r="E42" s="254"/>
      <c r="F42" s="38">
        <f>SUM(F36:F41)</f>
        <v>0</v>
      </c>
    </row>
    <row r="43" spans="1:6" x14ac:dyDescent="0.25">
      <c r="A43" s="185" t="s">
        <v>142</v>
      </c>
      <c r="B43" s="185" t="s">
        <v>143</v>
      </c>
      <c r="C43" s="47"/>
      <c r="D43" s="48"/>
      <c r="E43" s="65"/>
      <c r="F43" s="65"/>
    </row>
    <row r="44" spans="1:6" x14ac:dyDescent="0.25">
      <c r="A44" s="15" t="s">
        <v>172</v>
      </c>
      <c r="B44" s="15" t="s">
        <v>237</v>
      </c>
      <c r="C44" s="48" t="s">
        <v>2</v>
      </c>
      <c r="D44" s="48">
        <f>10.6*5</f>
        <v>53</v>
      </c>
      <c r="E44" s="65">
        <f>+BPU!D54</f>
        <v>0</v>
      </c>
      <c r="F44" s="65">
        <f>+E44*D44</f>
        <v>0</v>
      </c>
    </row>
    <row r="45" spans="1:6" x14ac:dyDescent="0.25">
      <c r="A45" s="15" t="s">
        <v>144</v>
      </c>
      <c r="B45" s="15" t="s">
        <v>185</v>
      </c>
      <c r="C45" s="48" t="s">
        <v>2</v>
      </c>
      <c r="D45" s="48">
        <f>10.6*5</f>
        <v>53</v>
      </c>
      <c r="E45" s="65">
        <f>+BPU!D56</f>
        <v>0</v>
      </c>
      <c r="F45" s="65">
        <f t="shared" ref="F45:F49" si="4">+E45*D45</f>
        <v>0</v>
      </c>
    </row>
    <row r="46" spans="1:6" x14ac:dyDescent="0.25">
      <c r="A46" s="15" t="s">
        <v>202</v>
      </c>
      <c r="B46" s="15" t="s">
        <v>186</v>
      </c>
      <c r="C46" s="48" t="s">
        <v>1</v>
      </c>
      <c r="D46" s="48">
        <f>10*8</f>
        <v>80</v>
      </c>
      <c r="E46" s="65">
        <f>+BPU!D57</f>
        <v>0</v>
      </c>
      <c r="F46" s="65">
        <f t="shared" si="4"/>
        <v>0</v>
      </c>
    </row>
    <row r="47" spans="1:6" x14ac:dyDescent="0.25">
      <c r="A47" s="15" t="s">
        <v>146</v>
      </c>
      <c r="B47" s="15" t="s">
        <v>148</v>
      </c>
      <c r="C47" s="48" t="s">
        <v>2</v>
      </c>
      <c r="D47" s="48">
        <v>10</v>
      </c>
      <c r="E47" s="65">
        <f>+BPU!D58</f>
        <v>0</v>
      </c>
      <c r="F47" s="65">
        <f t="shared" si="4"/>
        <v>0</v>
      </c>
    </row>
    <row r="48" spans="1:6" x14ac:dyDescent="0.25">
      <c r="A48" s="15" t="s">
        <v>147</v>
      </c>
      <c r="B48" s="15" t="s">
        <v>150</v>
      </c>
      <c r="C48" s="48" t="s">
        <v>2</v>
      </c>
      <c r="D48" s="48">
        <v>10</v>
      </c>
      <c r="E48" s="65">
        <f>+BPU!D59</f>
        <v>0</v>
      </c>
      <c r="F48" s="65">
        <f t="shared" si="4"/>
        <v>0</v>
      </c>
    </row>
    <row r="49" spans="1:6" x14ac:dyDescent="0.25">
      <c r="A49" s="15" t="s">
        <v>149</v>
      </c>
      <c r="B49" s="15" t="s">
        <v>151</v>
      </c>
      <c r="C49" s="48" t="s">
        <v>8</v>
      </c>
      <c r="D49" s="48">
        <v>6</v>
      </c>
      <c r="E49" s="65">
        <f>+BPU!D60</f>
        <v>0</v>
      </c>
      <c r="F49" s="65">
        <f t="shared" si="4"/>
        <v>0</v>
      </c>
    </row>
    <row r="50" spans="1:6" x14ac:dyDescent="0.25">
      <c r="A50" s="239" t="s">
        <v>80</v>
      </c>
      <c r="B50" s="240"/>
      <c r="C50" s="240"/>
      <c r="D50" s="240"/>
      <c r="E50" s="254"/>
      <c r="F50" s="38">
        <f>SUM(F44:F49)</f>
        <v>0</v>
      </c>
    </row>
    <row r="51" spans="1:6" x14ac:dyDescent="0.25">
      <c r="A51" s="185" t="s">
        <v>152</v>
      </c>
      <c r="B51" s="258" t="s">
        <v>239</v>
      </c>
      <c r="C51" s="258"/>
      <c r="D51" s="48"/>
      <c r="E51" s="65"/>
      <c r="F51" s="65"/>
    </row>
    <row r="52" spans="1:6" x14ac:dyDescent="0.25">
      <c r="A52" s="185" t="s">
        <v>71</v>
      </c>
      <c r="B52" s="185" t="s">
        <v>155</v>
      </c>
      <c r="C52" s="47"/>
      <c r="D52" s="48"/>
      <c r="E52" s="65"/>
      <c r="F52" s="65"/>
    </row>
    <row r="53" spans="1:6" ht="27.6" x14ac:dyDescent="0.25">
      <c r="A53" s="15" t="s">
        <v>189</v>
      </c>
      <c r="B53" s="15" t="s">
        <v>193</v>
      </c>
      <c r="C53" s="48" t="s">
        <v>8</v>
      </c>
      <c r="D53" s="48">
        <v>1</v>
      </c>
      <c r="E53" s="65">
        <f>+BPU!D64</f>
        <v>0</v>
      </c>
      <c r="F53" s="65">
        <f>+E53*D53</f>
        <v>0</v>
      </c>
    </row>
    <row r="54" spans="1:6" x14ac:dyDescent="0.25">
      <c r="A54" s="185" t="s">
        <v>173</v>
      </c>
      <c r="B54" s="185" t="s">
        <v>174</v>
      </c>
      <c r="C54" s="47"/>
      <c r="D54" s="48"/>
      <c r="E54" s="65"/>
      <c r="F54" s="65">
        <f t="shared" ref="F54:F55" si="5">+E54*D54</f>
        <v>0</v>
      </c>
    </row>
    <row r="55" spans="1:6" ht="27.6" x14ac:dyDescent="0.25">
      <c r="A55" s="15" t="s">
        <v>175</v>
      </c>
      <c r="B55" s="15" t="s">
        <v>194</v>
      </c>
      <c r="C55" s="48" t="s">
        <v>8</v>
      </c>
      <c r="D55" s="48">
        <v>8</v>
      </c>
      <c r="E55" s="65">
        <f>+BPU!D68</f>
        <v>0</v>
      </c>
      <c r="F55" s="65">
        <f t="shared" si="5"/>
        <v>0</v>
      </c>
    </row>
    <row r="56" spans="1:6" x14ac:dyDescent="0.25">
      <c r="A56" s="239" t="s">
        <v>97</v>
      </c>
      <c r="B56" s="240"/>
      <c r="C56" s="240"/>
      <c r="D56" s="240"/>
      <c r="E56" s="254"/>
      <c r="F56" s="38">
        <f>SUM(F53:F55)</f>
        <v>0</v>
      </c>
    </row>
    <row r="57" spans="1:6" x14ac:dyDescent="0.25">
      <c r="A57" s="185" t="s">
        <v>176</v>
      </c>
      <c r="B57" s="185" t="s">
        <v>88</v>
      </c>
      <c r="C57" s="47"/>
      <c r="D57" s="48"/>
      <c r="E57" s="65"/>
      <c r="F57" s="65"/>
    </row>
    <row r="58" spans="1:6" s="205" customFormat="1" x14ac:dyDescent="0.25">
      <c r="A58" s="15" t="s">
        <v>177</v>
      </c>
      <c r="B58" s="15" t="s">
        <v>218</v>
      </c>
      <c r="C58" s="48" t="s">
        <v>1</v>
      </c>
      <c r="D58" s="48">
        <f>19*6</f>
        <v>114</v>
      </c>
      <c r="E58" s="65">
        <f>+BPU!D72</f>
        <v>0</v>
      </c>
      <c r="F58" s="65">
        <f>+E58*D58</f>
        <v>0</v>
      </c>
    </row>
    <row r="59" spans="1:6" x14ac:dyDescent="0.25">
      <c r="A59" s="239" t="s">
        <v>98</v>
      </c>
      <c r="B59" s="240"/>
      <c r="C59" s="240"/>
      <c r="D59" s="240"/>
      <c r="E59" s="254"/>
      <c r="F59" s="38">
        <f>SUM(F58)</f>
        <v>0</v>
      </c>
    </row>
    <row r="60" spans="1:6" x14ac:dyDescent="0.25">
      <c r="A60" s="185" t="s">
        <v>178</v>
      </c>
      <c r="B60" s="185" t="s">
        <v>37</v>
      </c>
      <c r="C60" s="47"/>
      <c r="D60" s="48"/>
      <c r="E60" s="65"/>
      <c r="F60" s="65"/>
    </row>
    <row r="61" spans="1:6" x14ac:dyDescent="0.25">
      <c r="A61" s="15" t="s">
        <v>179</v>
      </c>
      <c r="B61" s="15" t="s">
        <v>180</v>
      </c>
      <c r="C61" s="48" t="s">
        <v>1</v>
      </c>
      <c r="D61" s="48">
        <f>60*2</f>
        <v>120</v>
      </c>
      <c r="E61" s="65">
        <f>+BPU!D74</f>
        <v>0</v>
      </c>
      <c r="F61" s="65">
        <f>+E61*D61</f>
        <v>0</v>
      </c>
    </row>
    <row r="62" spans="1:6" ht="27.6" x14ac:dyDescent="0.25">
      <c r="A62" s="15" t="s">
        <v>181</v>
      </c>
      <c r="B62" s="15" t="s">
        <v>220</v>
      </c>
      <c r="C62" s="48" t="s">
        <v>1</v>
      </c>
      <c r="D62" s="48">
        <f>+(1.8*1.35*8)+(42*2)</f>
        <v>103.44</v>
      </c>
      <c r="E62" s="65">
        <f>+BPU!D75</f>
        <v>0</v>
      </c>
      <c r="F62" s="65">
        <f>+E62*D62</f>
        <v>0</v>
      </c>
    </row>
    <row r="63" spans="1:6" x14ac:dyDescent="0.25">
      <c r="A63" s="239" t="s">
        <v>99</v>
      </c>
      <c r="B63" s="240"/>
      <c r="C63" s="240"/>
      <c r="D63" s="240"/>
      <c r="E63" s="254"/>
      <c r="F63" s="38">
        <f>SUM(F61:F62)</f>
        <v>0</v>
      </c>
    </row>
    <row r="64" spans="1:6" x14ac:dyDescent="0.25">
      <c r="A64" s="146" t="s">
        <v>300</v>
      </c>
      <c r="B64" s="160" t="s">
        <v>62</v>
      </c>
      <c r="C64" s="136"/>
      <c r="D64" s="139"/>
      <c r="E64" s="137"/>
      <c r="F64" s="165"/>
    </row>
    <row r="65" spans="1:6" x14ac:dyDescent="0.25">
      <c r="A65" s="40" t="s">
        <v>65</v>
      </c>
      <c r="B65" s="156" t="s">
        <v>63</v>
      </c>
      <c r="C65" s="136" t="s">
        <v>2</v>
      </c>
      <c r="D65" s="139">
        <v>46</v>
      </c>
      <c r="E65" s="137">
        <f>+BPU!D100</f>
        <v>0</v>
      </c>
      <c r="F65" s="165">
        <f>+E65*D65</f>
        <v>0</v>
      </c>
    </row>
    <row r="66" spans="1:6" x14ac:dyDescent="0.25">
      <c r="A66" s="245" t="s">
        <v>100</v>
      </c>
      <c r="B66" s="245"/>
      <c r="C66" s="140"/>
      <c r="D66" s="140"/>
      <c r="E66" s="141"/>
      <c r="F66" s="174">
        <f>SUM(F65:F65)</f>
        <v>0</v>
      </c>
    </row>
    <row r="67" spans="1:6" x14ac:dyDescent="0.25">
      <c r="A67" s="241" t="s">
        <v>221</v>
      </c>
      <c r="B67" s="242"/>
      <c r="C67" s="242"/>
      <c r="D67" s="242"/>
      <c r="E67" s="243"/>
      <c r="F67" s="126">
        <f>+F63+F59+F56+F50+F42+F33+F28+F23+F11+F8+F5</f>
        <v>0</v>
      </c>
    </row>
    <row r="70" spans="1:6" x14ac:dyDescent="0.25">
      <c r="B70" s="219"/>
    </row>
  </sheetData>
  <mergeCells count="16">
    <mergeCell ref="A63:E63"/>
    <mergeCell ref="A67:E67"/>
    <mergeCell ref="A33:E33"/>
    <mergeCell ref="A42:E42"/>
    <mergeCell ref="A50:E50"/>
    <mergeCell ref="B51:C51"/>
    <mergeCell ref="A56:E56"/>
    <mergeCell ref="A59:E59"/>
    <mergeCell ref="A66:B66"/>
    <mergeCell ref="A28:E28"/>
    <mergeCell ref="A1:F1"/>
    <mergeCell ref="B3:F3"/>
    <mergeCell ref="A5:E5"/>
    <mergeCell ref="A11:E11"/>
    <mergeCell ref="A23:E23"/>
    <mergeCell ref="A8:E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69"/>
  <sheetViews>
    <sheetView workbookViewId="0">
      <selection activeCell="H14" sqref="H14"/>
    </sheetView>
  </sheetViews>
  <sheetFormatPr baseColWidth="10" defaultColWidth="9.109375" defaultRowHeight="13.8" x14ac:dyDescent="0.3"/>
  <cols>
    <col min="1" max="1" width="9.33203125" style="86" customWidth="1"/>
    <col min="2" max="2" width="45.109375" style="87" customWidth="1"/>
    <col min="3" max="3" width="9.6640625" style="39" customWidth="1"/>
    <col min="4" max="4" width="9" style="215" customWidth="1"/>
    <col min="5" max="5" width="12.88671875" style="216" bestFit="1" customWidth="1"/>
    <col min="6" max="6" width="15.88671875" style="217" customWidth="1"/>
    <col min="7" max="7" width="9.109375" style="39"/>
    <col min="8" max="8" width="14.44140625" style="39" bestFit="1" customWidth="1"/>
    <col min="9" max="246" width="9.109375" style="39"/>
    <col min="247" max="247" width="4.5546875" style="39" customWidth="1"/>
    <col min="248" max="248" width="52.5546875" style="39" customWidth="1"/>
    <col min="249" max="249" width="2.88671875" style="39" customWidth="1"/>
    <col min="250" max="250" width="8.109375" style="39" customWidth="1"/>
    <col min="251" max="251" width="12.5546875" style="39" customWidth="1"/>
    <col min="252" max="252" width="9.109375" style="39" customWidth="1"/>
    <col min="253" max="502" width="9.109375" style="39"/>
    <col min="503" max="503" width="4.5546875" style="39" customWidth="1"/>
    <col min="504" max="504" width="52.5546875" style="39" customWidth="1"/>
    <col min="505" max="505" width="2.88671875" style="39" customWidth="1"/>
    <col min="506" max="506" width="8.109375" style="39" customWidth="1"/>
    <col min="507" max="507" width="12.5546875" style="39" customWidth="1"/>
    <col min="508" max="508" width="9.109375" style="39" customWidth="1"/>
    <col min="509" max="758" width="9.109375" style="39"/>
    <col min="759" max="759" width="4.5546875" style="39" customWidth="1"/>
    <col min="760" max="760" width="52.5546875" style="39" customWidth="1"/>
    <col min="761" max="761" width="2.88671875" style="39" customWidth="1"/>
    <col min="762" max="762" width="8.109375" style="39" customWidth="1"/>
    <col min="763" max="763" width="12.5546875" style="39" customWidth="1"/>
    <col min="764" max="764" width="9.109375" style="39" customWidth="1"/>
    <col min="765" max="1014" width="9.109375" style="39"/>
    <col min="1015" max="1015" width="4.5546875" style="39" customWidth="1"/>
    <col min="1016" max="1016" width="52.5546875" style="39" customWidth="1"/>
    <col min="1017" max="1017" width="2.88671875" style="39" customWidth="1"/>
    <col min="1018" max="1018" width="8.109375" style="39" customWidth="1"/>
    <col min="1019" max="1019" width="12.5546875" style="39" customWidth="1"/>
    <col min="1020" max="1020" width="9.109375" style="39" customWidth="1"/>
    <col min="1021" max="1270" width="9.109375" style="39"/>
    <col min="1271" max="1271" width="4.5546875" style="39" customWidth="1"/>
    <col min="1272" max="1272" width="52.5546875" style="39" customWidth="1"/>
    <col min="1273" max="1273" width="2.88671875" style="39" customWidth="1"/>
    <col min="1274" max="1274" width="8.109375" style="39" customWidth="1"/>
    <col min="1275" max="1275" width="12.5546875" style="39" customWidth="1"/>
    <col min="1276" max="1276" width="9.109375" style="39" customWidth="1"/>
    <col min="1277" max="1526" width="9.109375" style="39"/>
    <col min="1527" max="1527" width="4.5546875" style="39" customWidth="1"/>
    <col min="1528" max="1528" width="52.5546875" style="39" customWidth="1"/>
    <col min="1529" max="1529" width="2.88671875" style="39" customWidth="1"/>
    <col min="1530" max="1530" width="8.109375" style="39" customWidth="1"/>
    <col min="1531" max="1531" width="12.5546875" style="39" customWidth="1"/>
    <col min="1532" max="1532" width="9.109375" style="39" customWidth="1"/>
    <col min="1533" max="1782" width="9.109375" style="39"/>
    <col min="1783" max="1783" width="4.5546875" style="39" customWidth="1"/>
    <col min="1784" max="1784" width="52.5546875" style="39" customWidth="1"/>
    <col min="1785" max="1785" width="2.88671875" style="39" customWidth="1"/>
    <col min="1786" max="1786" width="8.109375" style="39" customWidth="1"/>
    <col min="1787" max="1787" width="12.5546875" style="39" customWidth="1"/>
    <col min="1788" max="1788" width="9.109375" style="39" customWidth="1"/>
    <col min="1789" max="2038" width="9.109375" style="39"/>
    <col min="2039" max="2039" width="4.5546875" style="39" customWidth="1"/>
    <col min="2040" max="2040" width="52.5546875" style="39" customWidth="1"/>
    <col min="2041" max="2041" width="2.88671875" style="39" customWidth="1"/>
    <col min="2042" max="2042" width="8.109375" style="39" customWidth="1"/>
    <col min="2043" max="2043" width="12.5546875" style="39" customWidth="1"/>
    <col min="2044" max="2044" width="9.109375" style="39" customWidth="1"/>
    <col min="2045" max="2294" width="9.109375" style="39"/>
    <col min="2295" max="2295" width="4.5546875" style="39" customWidth="1"/>
    <col min="2296" max="2296" width="52.5546875" style="39" customWidth="1"/>
    <col min="2297" max="2297" width="2.88671875" style="39" customWidth="1"/>
    <col min="2298" max="2298" width="8.109375" style="39" customWidth="1"/>
    <col min="2299" max="2299" width="12.5546875" style="39" customWidth="1"/>
    <col min="2300" max="2300" width="9.109375" style="39" customWidth="1"/>
    <col min="2301" max="2550" width="9.109375" style="39"/>
    <col min="2551" max="2551" width="4.5546875" style="39" customWidth="1"/>
    <col min="2552" max="2552" width="52.5546875" style="39" customWidth="1"/>
    <col min="2553" max="2553" width="2.88671875" style="39" customWidth="1"/>
    <col min="2554" max="2554" width="8.109375" style="39" customWidth="1"/>
    <col min="2555" max="2555" width="12.5546875" style="39" customWidth="1"/>
    <col min="2556" max="2556" width="9.109375" style="39" customWidth="1"/>
    <col min="2557" max="2806" width="9.109375" style="39"/>
    <col min="2807" max="2807" width="4.5546875" style="39" customWidth="1"/>
    <col min="2808" max="2808" width="52.5546875" style="39" customWidth="1"/>
    <col min="2809" max="2809" width="2.88671875" style="39" customWidth="1"/>
    <col min="2810" max="2810" width="8.109375" style="39" customWidth="1"/>
    <col min="2811" max="2811" width="12.5546875" style="39" customWidth="1"/>
    <col min="2812" max="2812" width="9.109375" style="39" customWidth="1"/>
    <col min="2813" max="3062" width="9.109375" style="39"/>
    <col min="3063" max="3063" width="4.5546875" style="39" customWidth="1"/>
    <col min="3064" max="3064" width="52.5546875" style="39" customWidth="1"/>
    <col min="3065" max="3065" width="2.88671875" style="39" customWidth="1"/>
    <col min="3066" max="3066" width="8.109375" style="39" customWidth="1"/>
    <col min="3067" max="3067" width="12.5546875" style="39" customWidth="1"/>
    <col min="3068" max="3068" width="9.109375" style="39" customWidth="1"/>
    <col min="3069" max="3318" width="9.109375" style="39"/>
    <col min="3319" max="3319" width="4.5546875" style="39" customWidth="1"/>
    <col min="3320" max="3320" width="52.5546875" style="39" customWidth="1"/>
    <col min="3321" max="3321" width="2.88671875" style="39" customWidth="1"/>
    <col min="3322" max="3322" width="8.109375" style="39" customWidth="1"/>
    <col min="3323" max="3323" width="12.5546875" style="39" customWidth="1"/>
    <col min="3324" max="3324" width="9.109375" style="39" customWidth="1"/>
    <col min="3325" max="3574" width="9.109375" style="39"/>
    <col min="3575" max="3575" width="4.5546875" style="39" customWidth="1"/>
    <col min="3576" max="3576" width="52.5546875" style="39" customWidth="1"/>
    <col min="3577" max="3577" width="2.88671875" style="39" customWidth="1"/>
    <col min="3578" max="3578" width="8.109375" style="39" customWidth="1"/>
    <col min="3579" max="3579" width="12.5546875" style="39" customWidth="1"/>
    <col min="3580" max="3580" width="9.109375" style="39" customWidth="1"/>
    <col min="3581" max="3830" width="9.109375" style="39"/>
    <col min="3831" max="3831" width="4.5546875" style="39" customWidth="1"/>
    <col min="3832" max="3832" width="52.5546875" style="39" customWidth="1"/>
    <col min="3833" max="3833" width="2.88671875" style="39" customWidth="1"/>
    <col min="3834" max="3834" width="8.109375" style="39" customWidth="1"/>
    <col min="3835" max="3835" width="12.5546875" style="39" customWidth="1"/>
    <col min="3836" max="3836" width="9.109375" style="39" customWidth="1"/>
    <col min="3837" max="4086" width="9.109375" style="39"/>
    <col min="4087" max="4087" width="4.5546875" style="39" customWidth="1"/>
    <col min="4088" max="4088" width="52.5546875" style="39" customWidth="1"/>
    <col min="4089" max="4089" width="2.88671875" style="39" customWidth="1"/>
    <col min="4090" max="4090" width="8.109375" style="39" customWidth="1"/>
    <col min="4091" max="4091" width="12.5546875" style="39" customWidth="1"/>
    <col min="4092" max="4092" width="9.109375" style="39" customWidth="1"/>
    <col min="4093" max="4342" width="9.109375" style="39"/>
    <col min="4343" max="4343" width="4.5546875" style="39" customWidth="1"/>
    <col min="4344" max="4344" width="52.5546875" style="39" customWidth="1"/>
    <col min="4345" max="4345" width="2.88671875" style="39" customWidth="1"/>
    <col min="4346" max="4346" width="8.109375" style="39" customWidth="1"/>
    <col min="4347" max="4347" width="12.5546875" style="39" customWidth="1"/>
    <col min="4348" max="4348" width="9.109375" style="39" customWidth="1"/>
    <col min="4349" max="4598" width="9.109375" style="39"/>
    <col min="4599" max="4599" width="4.5546875" style="39" customWidth="1"/>
    <col min="4600" max="4600" width="52.5546875" style="39" customWidth="1"/>
    <col min="4601" max="4601" width="2.88671875" style="39" customWidth="1"/>
    <col min="4602" max="4602" width="8.109375" style="39" customWidth="1"/>
    <col min="4603" max="4603" width="12.5546875" style="39" customWidth="1"/>
    <col min="4604" max="4604" width="9.109375" style="39" customWidth="1"/>
    <col min="4605" max="4854" width="9.109375" style="39"/>
    <col min="4855" max="4855" width="4.5546875" style="39" customWidth="1"/>
    <col min="4856" max="4856" width="52.5546875" style="39" customWidth="1"/>
    <col min="4857" max="4857" width="2.88671875" style="39" customWidth="1"/>
    <col min="4858" max="4858" width="8.109375" style="39" customWidth="1"/>
    <col min="4859" max="4859" width="12.5546875" style="39" customWidth="1"/>
    <col min="4860" max="4860" width="9.109375" style="39" customWidth="1"/>
    <col min="4861" max="5110" width="9.109375" style="39"/>
    <col min="5111" max="5111" width="4.5546875" style="39" customWidth="1"/>
    <col min="5112" max="5112" width="52.5546875" style="39" customWidth="1"/>
    <col min="5113" max="5113" width="2.88671875" style="39" customWidth="1"/>
    <col min="5114" max="5114" width="8.109375" style="39" customWidth="1"/>
    <col min="5115" max="5115" width="12.5546875" style="39" customWidth="1"/>
    <col min="5116" max="5116" width="9.109375" style="39" customWidth="1"/>
    <col min="5117" max="5366" width="9.109375" style="39"/>
    <col min="5367" max="5367" width="4.5546875" style="39" customWidth="1"/>
    <col min="5368" max="5368" width="52.5546875" style="39" customWidth="1"/>
    <col min="5369" max="5369" width="2.88671875" style="39" customWidth="1"/>
    <col min="5370" max="5370" width="8.109375" style="39" customWidth="1"/>
    <col min="5371" max="5371" width="12.5546875" style="39" customWidth="1"/>
    <col min="5372" max="5372" width="9.109375" style="39" customWidth="1"/>
    <col min="5373" max="5622" width="9.109375" style="39"/>
    <col min="5623" max="5623" width="4.5546875" style="39" customWidth="1"/>
    <col min="5624" max="5624" width="52.5546875" style="39" customWidth="1"/>
    <col min="5625" max="5625" width="2.88671875" style="39" customWidth="1"/>
    <col min="5626" max="5626" width="8.109375" style="39" customWidth="1"/>
    <col min="5627" max="5627" width="12.5546875" style="39" customWidth="1"/>
    <col min="5628" max="5628" width="9.109375" style="39" customWidth="1"/>
    <col min="5629" max="5878" width="9.109375" style="39"/>
    <col min="5879" max="5879" width="4.5546875" style="39" customWidth="1"/>
    <col min="5880" max="5880" width="52.5546875" style="39" customWidth="1"/>
    <col min="5881" max="5881" width="2.88671875" style="39" customWidth="1"/>
    <col min="5882" max="5882" width="8.109375" style="39" customWidth="1"/>
    <col min="5883" max="5883" width="12.5546875" style="39" customWidth="1"/>
    <col min="5884" max="5884" width="9.109375" style="39" customWidth="1"/>
    <col min="5885" max="6134" width="9.109375" style="39"/>
    <col min="6135" max="6135" width="4.5546875" style="39" customWidth="1"/>
    <col min="6136" max="6136" width="52.5546875" style="39" customWidth="1"/>
    <col min="6137" max="6137" width="2.88671875" style="39" customWidth="1"/>
    <col min="6138" max="6138" width="8.109375" style="39" customWidth="1"/>
    <col min="6139" max="6139" width="12.5546875" style="39" customWidth="1"/>
    <col min="6140" max="6140" width="9.109375" style="39" customWidth="1"/>
    <col min="6141" max="6390" width="9.109375" style="39"/>
    <col min="6391" max="6391" width="4.5546875" style="39" customWidth="1"/>
    <col min="6392" max="6392" width="52.5546875" style="39" customWidth="1"/>
    <col min="6393" max="6393" width="2.88671875" style="39" customWidth="1"/>
    <col min="6394" max="6394" width="8.109375" style="39" customWidth="1"/>
    <col min="6395" max="6395" width="12.5546875" style="39" customWidth="1"/>
    <col min="6396" max="6396" width="9.109375" style="39" customWidth="1"/>
    <col min="6397" max="6646" width="9.109375" style="39"/>
    <col min="6647" max="6647" width="4.5546875" style="39" customWidth="1"/>
    <col min="6648" max="6648" width="52.5546875" style="39" customWidth="1"/>
    <col min="6649" max="6649" width="2.88671875" style="39" customWidth="1"/>
    <col min="6650" max="6650" width="8.109375" style="39" customWidth="1"/>
    <col min="6651" max="6651" width="12.5546875" style="39" customWidth="1"/>
    <col min="6652" max="6652" width="9.109375" style="39" customWidth="1"/>
    <col min="6653" max="6902" width="9.109375" style="39"/>
    <col min="6903" max="6903" width="4.5546875" style="39" customWidth="1"/>
    <col min="6904" max="6904" width="52.5546875" style="39" customWidth="1"/>
    <col min="6905" max="6905" width="2.88671875" style="39" customWidth="1"/>
    <col min="6906" max="6906" width="8.109375" style="39" customWidth="1"/>
    <col min="6907" max="6907" width="12.5546875" style="39" customWidth="1"/>
    <col min="6908" max="6908" width="9.109375" style="39" customWidth="1"/>
    <col min="6909" max="7158" width="9.109375" style="39"/>
    <col min="7159" max="7159" width="4.5546875" style="39" customWidth="1"/>
    <col min="7160" max="7160" width="52.5546875" style="39" customWidth="1"/>
    <col min="7161" max="7161" width="2.88671875" style="39" customWidth="1"/>
    <col min="7162" max="7162" width="8.109375" style="39" customWidth="1"/>
    <col min="7163" max="7163" width="12.5546875" style="39" customWidth="1"/>
    <col min="7164" max="7164" width="9.109375" style="39" customWidth="1"/>
    <col min="7165" max="7414" width="9.109375" style="39"/>
    <col min="7415" max="7415" width="4.5546875" style="39" customWidth="1"/>
    <col min="7416" max="7416" width="52.5546875" style="39" customWidth="1"/>
    <col min="7417" max="7417" width="2.88671875" style="39" customWidth="1"/>
    <col min="7418" max="7418" width="8.109375" style="39" customWidth="1"/>
    <col min="7419" max="7419" width="12.5546875" style="39" customWidth="1"/>
    <col min="7420" max="7420" width="9.109375" style="39" customWidth="1"/>
    <col min="7421" max="7670" width="9.109375" style="39"/>
    <col min="7671" max="7671" width="4.5546875" style="39" customWidth="1"/>
    <col min="7672" max="7672" width="52.5546875" style="39" customWidth="1"/>
    <col min="7673" max="7673" width="2.88671875" style="39" customWidth="1"/>
    <col min="7674" max="7674" width="8.109375" style="39" customWidth="1"/>
    <col min="7675" max="7675" width="12.5546875" style="39" customWidth="1"/>
    <col min="7676" max="7676" width="9.109375" style="39" customWidth="1"/>
    <col min="7677" max="7926" width="9.109375" style="39"/>
    <col min="7927" max="7927" width="4.5546875" style="39" customWidth="1"/>
    <col min="7928" max="7928" width="52.5546875" style="39" customWidth="1"/>
    <col min="7929" max="7929" width="2.88671875" style="39" customWidth="1"/>
    <col min="7930" max="7930" width="8.109375" style="39" customWidth="1"/>
    <col min="7931" max="7931" width="12.5546875" style="39" customWidth="1"/>
    <col min="7932" max="7932" width="9.109375" style="39" customWidth="1"/>
    <col min="7933" max="8182" width="9.109375" style="39"/>
    <col min="8183" max="8183" width="4.5546875" style="39" customWidth="1"/>
    <col min="8184" max="8184" width="52.5546875" style="39" customWidth="1"/>
    <col min="8185" max="8185" width="2.88671875" style="39" customWidth="1"/>
    <col min="8186" max="8186" width="8.109375" style="39" customWidth="1"/>
    <col min="8187" max="8187" width="12.5546875" style="39" customWidth="1"/>
    <col min="8188" max="8188" width="9.109375" style="39" customWidth="1"/>
    <col min="8189" max="8438" width="9.109375" style="39"/>
    <col min="8439" max="8439" width="4.5546875" style="39" customWidth="1"/>
    <col min="8440" max="8440" width="52.5546875" style="39" customWidth="1"/>
    <col min="8441" max="8441" width="2.88671875" style="39" customWidth="1"/>
    <col min="8442" max="8442" width="8.109375" style="39" customWidth="1"/>
    <col min="8443" max="8443" width="12.5546875" style="39" customWidth="1"/>
    <col min="8444" max="8444" width="9.109375" style="39" customWidth="1"/>
    <col min="8445" max="8694" width="9.109375" style="39"/>
    <col min="8695" max="8695" width="4.5546875" style="39" customWidth="1"/>
    <col min="8696" max="8696" width="52.5546875" style="39" customWidth="1"/>
    <col min="8697" max="8697" width="2.88671875" style="39" customWidth="1"/>
    <col min="8698" max="8698" width="8.109375" style="39" customWidth="1"/>
    <col min="8699" max="8699" width="12.5546875" style="39" customWidth="1"/>
    <col min="8700" max="8700" width="9.109375" style="39" customWidth="1"/>
    <col min="8701" max="8950" width="9.109375" style="39"/>
    <col min="8951" max="8951" width="4.5546875" style="39" customWidth="1"/>
    <col min="8952" max="8952" width="52.5546875" style="39" customWidth="1"/>
    <col min="8953" max="8953" width="2.88671875" style="39" customWidth="1"/>
    <col min="8954" max="8954" width="8.109375" style="39" customWidth="1"/>
    <col min="8955" max="8955" width="12.5546875" style="39" customWidth="1"/>
    <col min="8956" max="8956" width="9.109375" style="39" customWidth="1"/>
    <col min="8957" max="9206" width="9.109375" style="39"/>
    <col min="9207" max="9207" width="4.5546875" style="39" customWidth="1"/>
    <col min="9208" max="9208" width="52.5546875" style="39" customWidth="1"/>
    <col min="9209" max="9209" width="2.88671875" style="39" customWidth="1"/>
    <col min="9210" max="9210" width="8.109375" style="39" customWidth="1"/>
    <col min="9211" max="9211" width="12.5546875" style="39" customWidth="1"/>
    <col min="9212" max="9212" width="9.109375" style="39" customWidth="1"/>
    <col min="9213" max="9462" width="9.109375" style="39"/>
    <col min="9463" max="9463" width="4.5546875" style="39" customWidth="1"/>
    <col min="9464" max="9464" width="52.5546875" style="39" customWidth="1"/>
    <col min="9465" max="9465" width="2.88671875" style="39" customWidth="1"/>
    <col min="9466" max="9466" width="8.109375" style="39" customWidth="1"/>
    <col min="9467" max="9467" width="12.5546875" style="39" customWidth="1"/>
    <col min="9468" max="9468" width="9.109375" style="39" customWidth="1"/>
    <col min="9469" max="9718" width="9.109375" style="39"/>
    <col min="9719" max="9719" width="4.5546875" style="39" customWidth="1"/>
    <col min="9720" max="9720" width="52.5546875" style="39" customWidth="1"/>
    <col min="9721" max="9721" width="2.88671875" style="39" customWidth="1"/>
    <col min="9722" max="9722" width="8.109375" style="39" customWidth="1"/>
    <col min="9723" max="9723" width="12.5546875" style="39" customWidth="1"/>
    <col min="9724" max="9724" width="9.109375" style="39" customWidth="1"/>
    <col min="9725" max="9974" width="9.109375" style="39"/>
    <col min="9975" max="9975" width="4.5546875" style="39" customWidth="1"/>
    <col min="9976" max="9976" width="52.5546875" style="39" customWidth="1"/>
    <col min="9977" max="9977" width="2.88671875" style="39" customWidth="1"/>
    <col min="9978" max="9978" width="8.109375" style="39" customWidth="1"/>
    <col min="9979" max="9979" width="12.5546875" style="39" customWidth="1"/>
    <col min="9980" max="9980" width="9.109375" style="39" customWidth="1"/>
    <col min="9981" max="10230" width="9.109375" style="39"/>
    <col min="10231" max="10231" width="4.5546875" style="39" customWidth="1"/>
    <col min="10232" max="10232" width="52.5546875" style="39" customWidth="1"/>
    <col min="10233" max="10233" width="2.88671875" style="39" customWidth="1"/>
    <col min="10234" max="10234" width="8.109375" style="39" customWidth="1"/>
    <col min="10235" max="10235" width="12.5546875" style="39" customWidth="1"/>
    <col min="10236" max="10236" width="9.109375" style="39" customWidth="1"/>
    <col min="10237" max="10486" width="9.109375" style="39"/>
    <col min="10487" max="10487" width="4.5546875" style="39" customWidth="1"/>
    <col min="10488" max="10488" width="52.5546875" style="39" customWidth="1"/>
    <col min="10489" max="10489" width="2.88671875" style="39" customWidth="1"/>
    <col min="10490" max="10490" width="8.109375" style="39" customWidth="1"/>
    <col min="10491" max="10491" width="12.5546875" style="39" customWidth="1"/>
    <col min="10492" max="10492" width="9.109375" style="39" customWidth="1"/>
    <col min="10493" max="10742" width="9.109375" style="39"/>
    <col min="10743" max="10743" width="4.5546875" style="39" customWidth="1"/>
    <col min="10744" max="10744" width="52.5546875" style="39" customWidth="1"/>
    <col min="10745" max="10745" width="2.88671875" style="39" customWidth="1"/>
    <col min="10746" max="10746" width="8.109375" style="39" customWidth="1"/>
    <col min="10747" max="10747" width="12.5546875" style="39" customWidth="1"/>
    <col min="10748" max="10748" width="9.109375" style="39" customWidth="1"/>
    <col min="10749" max="10998" width="9.109375" style="39"/>
    <col min="10999" max="10999" width="4.5546875" style="39" customWidth="1"/>
    <col min="11000" max="11000" width="52.5546875" style="39" customWidth="1"/>
    <col min="11001" max="11001" width="2.88671875" style="39" customWidth="1"/>
    <col min="11002" max="11002" width="8.109375" style="39" customWidth="1"/>
    <col min="11003" max="11003" width="12.5546875" style="39" customWidth="1"/>
    <col min="11004" max="11004" width="9.109375" style="39" customWidth="1"/>
    <col min="11005" max="11254" width="9.109375" style="39"/>
    <col min="11255" max="11255" width="4.5546875" style="39" customWidth="1"/>
    <col min="11256" max="11256" width="52.5546875" style="39" customWidth="1"/>
    <col min="11257" max="11257" width="2.88671875" style="39" customWidth="1"/>
    <col min="11258" max="11258" width="8.109375" style="39" customWidth="1"/>
    <col min="11259" max="11259" width="12.5546875" style="39" customWidth="1"/>
    <col min="11260" max="11260" width="9.109375" style="39" customWidth="1"/>
    <col min="11261" max="11510" width="9.109375" style="39"/>
    <col min="11511" max="11511" width="4.5546875" style="39" customWidth="1"/>
    <col min="11512" max="11512" width="52.5546875" style="39" customWidth="1"/>
    <col min="11513" max="11513" width="2.88671875" style="39" customWidth="1"/>
    <col min="11514" max="11514" width="8.109375" style="39" customWidth="1"/>
    <col min="11515" max="11515" width="12.5546875" style="39" customWidth="1"/>
    <col min="11516" max="11516" width="9.109375" style="39" customWidth="1"/>
    <col min="11517" max="11766" width="9.109375" style="39"/>
    <col min="11767" max="11767" width="4.5546875" style="39" customWidth="1"/>
    <col min="11768" max="11768" width="52.5546875" style="39" customWidth="1"/>
    <col min="11769" max="11769" width="2.88671875" style="39" customWidth="1"/>
    <col min="11770" max="11770" width="8.109375" style="39" customWidth="1"/>
    <col min="11771" max="11771" width="12.5546875" style="39" customWidth="1"/>
    <col min="11772" max="11772" width="9.109375" style="39" customWidth="1"/>
    <col min="11773" max="12022" width="9.109375" style="39"/>
    <col min="12023" max="12023" width="4.5546875" style="39" customWidth="1"/>
    <col min="12024" max="12024" width="52.5546875" style="39" customWidth="1"/>
    <col min="12025" max="12025" width="2.88671875" style="39" customWidth="1"/>
    <col min="12026" max="12026" width="8.109375" style="39" customWidth="1"/>
    <col min="12027" max="12027" width="12.5546875" style="39" customWidth="1"/>
    <col min="12028" max="12028" width="9.109375" style="39" customWidth="1"/>
    <col min="12029" max="12278" width="9.109375" style="39"/>
    <col min="12279" max="12279" width="4.5546875" style="39" customWidth="1"/>
    <col min="12280" max="12280" width="52.5546875" style="39" customWidth="1"/>
    <col min="12281" max="12281" width="2.88671875" style="39" customWidth="1"/>
    <col min="12282" max="12282" width="8.109375" style="39" customWidth="1"/>
    <col min="12283" max="12283" width="12.5546875" style="39" customWidth="1"/>
    <col min="12284" max="12284" width="9.109375" style="39" customWidth="1"/>
    <col min="12285" max="12534" width="9.109375" style="39"/>
    <col min="12535" max="12535" width="4.5546875" style="39" customWidth="1"/>
    <col min="12536" max="12536" width="52.5546875" style="39" customWidth="1"/>
    <col min="12537" max="12537" width="2.88671875" style="39" customWidth="1"/>
    <col min="12538" max="12538" width="8.109375" style="39" customWidth="1"/>
    <col min="12539" max="12539" width="12.5546875" style="39" customWidth="1"/>
    <col min="12540" max="12540" width="9.109375" style="39" customWidth="1"/>
    <col min="12541" max="12790" width="9.109375" style="39"/>
    <col min="12791" max="12791" width="4.5546875" style="39" customWidth="1"/>
    <col min="12792" max="12792" width="52.5546875" style="39" customWidth="1"/>
    <col min="12793" max="12793" width="2.88671875" style="39" customWidth="1"/>
    <col min="12794" max="12794" width="8.109375" style="39" customWidth="1"/>
    <col min="12795" max="12795" width="12.5546875" style="39" customWidth="1"/>
    <col min="12796" max="12796" width="9.109375" style="39" customWidth="1"/>
    <col min="12797" max="13046" width="9.109375" style="39"/>
    <col min="13047" max="13047" width="4.5546875" style="39" customWidth="1"/>
    <col min="13048" max="13048" width="52.5546875" style="39" customWidth="1"/>
    <col min="13049" max="13049" width="2.88671875" style="39" customWidth="1"/>
    <col min="13050" max="13050" width="8.109375" style="39" customWidth="1"/>
    <col min="13051" max="13051" width="12.5546875" style="39" customWidth="1"/>
    <col min="13052" max="13052" width="9.109375" style="39" customWidth="1"/>
    <col min="13053" max="13302" width="9.109375" style="39"/>
    <col min="13303" max="13303" width="4.5546875" style="39" customWidth="1"/>
    <col min="13304" max="13304" width="52.5546875" style="39" customWidth="1"/>
    <col min="13305" max="13305" width="2.88671875" style="39" customWidth="1"/>
    <col min="13306" max="13306" width="8.109375" style="39" customWidth="1"/>
    <col min="13307" max="13307" width="12.5546875" style="39" customWidth="1"/>
    <col min="13308" max="13308" width="9.109375" style="39" customWidth="1"/>
    <col min="13309" max="13558" width="9.109375" style="39"/>
    <col min="13559" max="13559" width="4.5546875" style="39" customWidth="1"/>
    <col min="13560" max="13560" width="52.5546875" style="39" customWidth="1"/>
    <col min="13561" max="13561" width="2.88671875" style="39" customWidth="1"/>
    <col min="13562" max="13562" width="8.109375" style="39" customWidth="1"/>
    <col min="13563" max="13563" width="12.5546875" style="39" customWidth="1"/>
    <col min="13564" max="13564" width="9.109375" style="39" customWidth="1"/>
    <col min="13565" max="13814" width="9.109375" style="39"/>
    <col min="13815" max="13815" width="4.5546875" style="39" customWidth="1"/>
    <col min="13816" max="13816" width="52.5546875" style="39" customWidth="1"/>
    <col min="13817" max="13817" width="2.88671875" style="39" customWidth="1"/>
    <col min="13818" max="13818" width="8.109375" style="39" customWidth="1"/>
    <col min="13819" max="13819" width="12.5546875" style="39" customWidth="1"/>
    <col min="13820" max="13820" width="9.109375" style="39" customWidth="1"/>
    <col min="13821" max="14070" width="9.109375" style="39"/>
    <col min="14071" max="14071" width="4.5546875" style="39" customWidth="1"/>
    <col min="14072" max="14072" width="52.5546875" style="39" customWidth="1"/>
    <col min="14073" max="14073" width="2.88671875" style="39" customWidth="1"/>
    <col min="14074" max="14074" width="8.109375" style="39" customWidth="1"/>
    <col min="14075" max="14075" width="12.5546875" style="39" customWidth="1"/>
    <col min="14076" max="14076" width="9.109375" style="39" customWidth="1"/>
    <col min="14077" max="14326" width="9.109375" style="39"/>
    <col min="14327" max="14327" width="4.5546875" style="39" customWidth="1"/>
    <col min="14328" max="14328" width="52.5546875" style="39" customWidth="1"/>
    <col min="14329" max="14329" width="2.88671875" style="39" customWidth="1"/>
    <col min="14330" max="14330" width="8.109375" style="39" customWidth="1"/>
    <col min="14331" max="14331" width="12.5546875" style="39" customWidth="1"/>
    <col min="14332" max="14332" width="9.109375" style="39" customWidth="1"/>
    <col min="14333" max="14582" width="9.109375" style="39"/>
    <col min="14583" max="14583" width="4.5546875" style="39" customWidth="1"/>
    <col min="14584" max="14584" width="52.5546875" style="39" customWidth="1"/>
    <col min="14585" max="14585" width="2.88671875" style="39" customWidth="1"/>
    <col min="14586" max="14586" width="8.109375" style="39" customWidth="1"/>
    <col min="14587" max="14587" width="12.5546875" style="39" customWidth="1"/>
    <col min="14588" max="14588" width="9.109375" style="39" customWidth="1"/>
    <col min="14589" max="14838" width="9.109375" style="39"/>
    <col min="14839" max="14839" width="4.5546875" style="39" customWidth="1"/>
    <col min="14840" max="14840" width="52.5546875" style="39" customWidth="1"/>
    <col min="14841" max="14841" width="2.88671875" style="39" customWidth="1"/>
    <col min="14842" max="14842" width="8.109375" style="39" customWidth="1"/>
    <col min="14843" max="14843" width="12.5546875" style="39" customWidth="1"/>
    <col min="14844" max="14844" width="9.109375" style="39" customWidth="1"/>
    <col min="14845" max="15094" width="9.109375" style="39"/>
    <col min="15095" max="15095" width="4.5546875" style="39" customWidth="1"/>
    <col min="15096" max="15096" width="52.5546875" style="39" customWidth="1"/>
    <col min="15097" max="15097" width="2.88671875" style="39" customWidth="1"/>
    <col min="15098" max="15098" width="8.109375" style="39" customWidth="1"/>
    <col min="15099" max="15099" width="12.5546875" style="39" customWidth="1"/>
    <col min="15100" max="15100" width="9.109375" style="39" customWidth="1"/>
    <col min="15101" max="15350" width="9.109375" style="39"/>
    <col min="15351" max="15351" width="4.5546875" style="39" customWidth="1"/>
    <col min="15352" max="15352" width="52.5546875" style="39" customWidth="1"/>
    <col min="15353" max="15353" width="2.88671875" style="39" customWidth="1"/>
    <col min="15354" max="15354" width="8.109375" style="39" customWidth="1"/>
    <col min="15355" max="15355" width="12.5546875" style="39" customWidth="1"/>
    <col min="15356" max="15356" width="9.109375" style="39" customWidth="1"/>
    <col min="15357" max="15606" width="9.109375" style="39"/>
    <col min="15607" max="15607" width="4.5546875" style="39" customWidth="1"/>
    <col min="15608" max="15608" width="52.5546875" style="39" customWidth="1"/>
    <col min="15609" max="15609" width="2.88671875" style="39" customWidth="1"/>
    <col min="15610" max="15610" width="8.109375" style="39" customWidth="1"/>
    <col min="15611" max="15611" width="12.5546875" style="39" customWidth="1"/>
    <col min="15612" max="15612" width="9.109375" style="39" customWidth="1"/>
    <col min="15613" max="15862" width="9.109375" style="39"/>
    <col min="15863" max="15863" width="4.5546875" style="39" customWidth="1"/>
    <col min="15864" max="15864" width="52.5546875" style="39" customWidth="1"/>
    <col min="15865" max="15865" width="2.88671875" style="39" customWidth="1"/>
    <col min="15866" max="15866" width="8.109375" style="39" customWidth="1"/>
    <col min="15867" max="15867" width="12.5546875" style="39" customWidth="1"/>
    <col min="15868" max="15868" width="9.109375" style="39" customWidth="1"/>
    <col min="15869" max="16118" width="9.109375" style="39"/>
    <col min="16119" max="16119" width="4.5546875" style="39" customWidth="1"/>
    <col min="16120" max="16120" width="52.5546875" style="39" customWidth="1"/>
    <col min="16121" max="16121" width="2.88671875" style="39" customWidth="1"/>
    <col min="16122" max="16122" width="8.109375" style="39" customWidth="1"/>
    <col min="16123" max="16123" width="12.5546875" style="39" customWidth="1"/>
    <col min="16124" max="16124" width="9.109375" style="39" customWidth="1"/>
    <col min="16125" max="16384" width="9.109375" style="39"/>
  </cols>
  <sheetData>
    <row r="1" spans="1:6" x14ac:dyDescent="0.3">
      <c r="A1" s="259" t="s">
        <v>258</v>
      </c>
      <c r="B1" s="259"/>
      <c r="C1" s="259"/>
      <c r="D1" s="259"/>
      <c r="E1" s="259"/>
      <c r="F1" s="259"/>
    </row>
    <row r="2" spans="1:6" s="67" customFormat="1" ht="28.5" customHeight="1" x14ac:dyDescent="0.3">
      <c r="A2" s="11" t="s">
        <v>5</v>
      </c>
      <c r="B2" s="12" t="s">
        <v>0</v>
      </c>
      <c r="C2" s="13" t="s">
        <v>6</v>
      </c>
      <c r="D2" s="13" t="s">
        <v>3</v>
      </c>
      <c r="E2" s="13" t="s">
        <v>259</v>
      </c>
      <c r="F2" s="90" t="s">
        <v>260</v>
      </c>
    </row>
    <row r="3" spans="1:6" s="67" customFormat="1" x14ac:dyDescent="0.3">
      <c r="A3" s="185" t="s">
        <v>161</v>
      </c>
      <c r="B3" s="236" t="s">
        <v>11</v>
      </c>
      <c r="C3" s="237"/>
      <c r="D3" s="237"/>
      <c r="E3" s="237"/>
      <c r="F3" s="238"/>
    </row>
    <row r="4" spans="1:6" s="67" customFormat="1" x14ac:dyDescent="0.25">
      <c r="A4" s="15" t="s">
        <v>163</v>
      </c>
      <c r="B4" s="15" t="s">
        <v>164</v>
      </c>
      <c r="C4" s="16" t="s">
        <v>4</v>
      </c>
      <c r="D4" s="16">
        <v>1</v>
      </c>
      <c r="E4" s="208">
        <f>BPU!D5</f>
        <v>0</v>
      </c>
      <c r="F4" s="209">
        <f t="shared" ref="F4:F26" si="0">+E4*D4</f>
        <v>0</v>
      </c>
    </row>
    <row r="5" spans="1:6" s="67" customFormat="1" x14ac:dyDescent="0.25">
      <c r="A5" s="239" t="s">
        <v>74</v>
      </c>
      <c r="B5" s="240"/>
      <c r="C5" s="19"/>
      <c r="D5" s="19"/>
      <c r="E5" s="26"/>
      <c r="F5" s="210">
        <f>SUM(F4:F4)</f>
        <v>0</v>
      </c>
    </row>
    <row r="6" spans="1:6" x14ac:dyDescent="0.3">
      <c r="A6" s="185" t="s">
        <v>19</v>
      </c>
      <c r="B6" s="185" t="s">
        <v>26</v>
      </c>
      <c r="C6" s="21"/>
      <c r="D6" s="22"/>
      <c r="E6" s="25"/>
      <c r="F6" s="209"/>
    </row>
    <row r="7" spans="1:6" x14ac:dyDescent="0.3">
      <c r="A7" s="185" t="s">
        <v>22</v>
      </c>
      <c r="B7" s="185" t="s">
        <v>20</v>
      </c>
      <c r="C7" s="21"/>
      <c r="D7" s="22"/>
      <c r="E7" s="25"/>
      <c r="F7" s="209"/>
    </row>
    <row r="8" spans="1:6" ht="16.2" x14ac:dyDescent="0.3">
      <c r="A8" s="15" t="s">
        <v>206</v>
      </c>
      <c r="B8" s="15" t="s">
        <v>190</v>
      </c>
      <c r="C8" s="21" t="s">
        <v>279</v>
      </c>
      <c r="D8" s="22">
        <f>32*2.6</f>
        <v>83.2</v>
      </c>
      <c r="E8" s="65">
        <f>BPU!D47</f>
        <v>0</v>
      </c>
      <c r="F8" s="209">
        <f>+E8*D8</f>
        <v>0</v>
      </c>
    </row>
    <row r="9" spans="1:6" x14ac:dyDescent="0.3">
      <c r="A9" s="185" t="s">
        <v>25</v>
      </c>
      <c r="B9" s="185" t="s">
        <v>27</v>
      </c>
      <c r="C9" s="21"/>
      <c r="D9" s="22"/>
      <c r="E9" s="25"/>
      <c r="F9" s="209"/>
    </row>
    <row r="10" spans="1:6" ht="30" x14ac:dyDescent="0.3">
      <c r="A10" s="15" t="s">
        <v>29</v>
      </c>
      <c r="B10" s="15" t="s">
        <v>278</v>
      </c>
      <c r="C10" s="21" t="s">
        <v>279</v>
      </c>
      <c r="D10" s="22">
        <f>16*1</f>
        <v>16</v>
      </c>
      <c r="E10" s="65">
        <f>BPU!D52</f>
        <v>0</v>
      </c>
      <c r="F10" s="209">
        <f t="shared" si="0"/>
        <v>0</v>
      </c>
    </row>
    <row r="11" spans="1:6" x14ac:dyDescent="0.25">
      <c r="A11" s="239" t="s">
        <v>77</v>
      </c>
      <c r="B11" s="240"/>
      <c r="C11" s="19"/>
      <c r="D11" s="19"/>
      <c r="E11" s="26"/>
      <c r="F11" s="210">
        <f>SUM(F8:F10)</f>
        <v>0</v>
      </c>
    </row>
    <row r="12" spans="1:6" x14ac:dyDescent="0.3">
      <c r="A12" s="185" t="s">
        <v>152</v>
      </c>
      <c r="B12" s="258" t="s">
        <v>392</v>
      </c>
      <c r="C12" s="258"/>
      <c r="D12" s="48"/>
      <c r="E12" s="65"/>
      <c r="F12" s="209"/>
    </row>
    <row r="13" spans="1:6" x14ac:dyDescent="0.3">
      <c r="A13" s="185" t="s">
        <v>71</v>
      </c>
      <c r="B13" s="185" t="s">
        <v>155</v>
      </c>
      <c r="C13" s="47"/>
      <c r="D13" s="48"/>
      <c r="E13" s="65"/>
      <c r="F13" s="209"/>
    </row>
    <row r="14" spans="1:6" x14ac:dyDescent="0.3">
      <c r="A14" s="15" t="s">
        <v>189</v>
      </c>
      <c r="B14" s="15" t="s">
        <v>193</v>
      </c>
      <c r="C14" s="48" t="s">
        <v>8</v>
      </c>
      <c r="D14" s="48">
        <v>0</v>
      </c>
      <c r="E14" s="65">
        <f>BPU!D64</f>
        <v>0</v>
      </c>
      <c r="F14" s="209">
        <f t="shared" si="0"/>
        <v>0</v>
      </c>
    </row>
    <row r="15" spans="1:6" x14ac:dyDescent="0.3">
      <c r="A15" s="185" t="s">
        <v>173</v>
      </c>
      <c r="B15" s="185" t="s">
        <v>174</v>
      </c>
      <c r="C15" s="47"/>
      <c r="D15" s="48"/>
      <c r="E15" s="65"/>
      <c r="F15" s="209"/>
    </row>
    <row r="16" spans="1:6" ht="27.6" x14ac:dyDescent="0.3">
      <c r="A16" s="15" t="s">
        <v>175</v>
      </c>
      <c r="B16" s="15" t="s">
        <v>194</v>
      </c>
      <c r="C16" s="48" t="s">
        <v>8</v>
      </c>
      <c r="D16" s="48">
        <v>2</v>
      </c>
      <c r="E16" s="65">
        <f>BPU!D68</f>
        <v>0</v>
      </c>
      <c r="F16" s="209">
        <f t="shared" si="0"/>
        <v>0</v>
      </c>
    </row>
    <row r="17" spans="1:6" x14ac:dyDescent="0.25">
      <c r="A17" s="239" t="s">
        <v>78</v>
      </c>
      <c r="B17" s="240"/>
      <c r="C17" s="184"/>
      <c r="D17" s="184"/>
      <c r="E17" s="26"/>
      <c r="F17" s="210">
        <f>SUM(F14:F16)</f>
        <v>0</v>
      </c>
    </row>
    <row r="18" spans="1:6" x14ac:dyDescent="0.3">
      <c r="A18" s="185" t="s">
        <v>142</v>
      </c>
      <c r="B18" s="185" t="s">
        <v>143</v>
      </c>
      <c r="C18" s="47"/>
      <c r="D18" s="48"/>
      <c r="E18" s="65"/>
      <c r="F18" s="209"/>
    </row>
    <row r="19" spans="1:6" ht="27.6" x14ac:dyDescent="0.3">
      <c r="A19" s="15" t="s">
        <v>144</v>
      </c>
      <c r="B19" s="15" t="s">
        <v>391</v>
      </c>
      <c r="C19" s="48" t="s">
        <v>2</v>
      </c>
      <c r="D19" s="48">
        <v>70</v>
      </c>
      <c r="E19" s="65">
        <f>BPU!D56</f>
        <v>0</v>
      </c>
      <c r="F19" s="209">
        <f t="shared" si="0"/>
        <v>0</v>
      </c>
    </row>
    <row r="20" spans="1:6" x14ac:dyDescent="0.3">
      <c r="A20" s="15" t="s">
        <v>202</v>
      </c>
      <c r="B20" s="15" t="s">
        <v>186</v>
      </c>
      <c r="C20" s="48" t="s">
        <v>1</v>
      </c>
      <c r="D20" s="48">
        <v>30</v>
      </c>
      <c r="E20" s="65">
        <f>BPU!D57</f>
        <v>0</v>
      </c>
      <c r="F20" s="209">
        <f t="shared" si="0"/>
        <v>0</v>
      </c>
    </row>
    <row r="21" spans="1:6" x14ac:dyDescent="0.25">
      <c r="A21" s="239" t="s">
        <v>79</v>
      </c>
      <c r="B21" s="240"/>
      <c r="C21" s="184"/>
      <c r="D21" s="184"/>
      <c r="E21" s="26"/>
      <c r="F21" s="210">
        <f>SUM(F18:F20)</f>
        <v>0</v>
      </c>
    </row>
    <row r="22" spans="1:6" x14ac:dyDescent="0.3">
      <c r="A22" s="185" t="s">
        <v>207</v>
      </c>
      <c r="B22" s="27" t="s">
        <v>62</v>
      </c>
      <c r="C22" s="21"/>
      <c r="D22" s="22"/>
      <c r="E22" s="25"/>
      <c r="F22" s="209"/>
    </row>
    <row r="23" spans="1:6" x14ac:dyDescent="0.3">
      <c r="A23" s="15" t="s">
        <v>65</v>
      </c>
      <c r="B23" s="28" t="s">
        <v>63</v>
      </c>
      <c r="C23" s="21" t="s">
        <v>2</v>
      </c>
      <c r="D23" s="22">
        <v>16</v>
      </c>
      <c r="E23" s="65">
        <f>BPU!D100</f>
        <v>0</v>
      </c>
      <c r="F23" s="209">
        <f t="shared" si="0"/>
        <v>0</v>
      </c>
    </row>
    <row r="24" spans="1:6" x14ac:dyDescent="0.25">
      <c r="A24" s="239" t="s">
        <v>80</v>
      </c>
      <c r="B24" s="240"/>
      <c r="C24" s="19"/>
      <c r="D24" s="19"/>
      <c r="E24" s="26"/>
      <c r="F24" s="210">
        <f>SUM(F23)</f>
        <v>0</v>
      </c>
    </row>
    <row r="25" spans="1:6" x14ac:dyDescent="0.3">
      <c r="A25" s="185" t="s">
        <v>38</v>
      </c>
      <c r="B25" s="185" t="s">
        <v>37</v>
      </c>
      <c r="C25" s="21"/>
      <c r="D25" s="22"/>
      <c r="E25" s="25"/>
      <c r="F25" s="209"/>
    </row>
    <row r="26" spans="1:6" x14ac:dyDescent="0.3">
      <c r="A26" s="15" t="s">
        <v>340</v>
      </c>
      <c r="B26" s="15" t="s">
        <v>257</v>
      </c>
      <c r="C26" s="21" t="s">
        <v>1</v>
      </c>
      <c r="D26" s="211">
        <f>1.8*1.3*4</f>
        <v>9.3600000000000012</v>
      </c>
      <c r="E26" s="65">
        <f>BPU!D75</f>
        <v>0</v>
      </c>
      <c r="F26" s="209">
        <f t="shared" si="0"/>
        <v>0</v>
      </c>
    </row>
    <row r="27" spans="1:6" x14ac:dyDescent="0.25">
      <c r="A27" s="239" t="s">
        <v>97</v>
      </c>
      <c r="B27" s="240"/>
      <c r="C27" s="19"/>
      <c r="D27" s="19"/>
      <c r="E27" s="24"/>
      <c r="F27" s="212">
        <f>SUM(F26)</f>
        <v>0</v>
      </c>
    </row>
    <row r="28" spans="1:6" x14ac:dyDescent="0.25">
      <c r="A28" s="241" t="s">
        <v>283</v>
      </c>
      <c r="B28" s="242"/>
      <c r="C28" s="242"/>
      <c r="D28" s="242"/>
      <c r="E28" s="243"/>
      <c r="F28" s="213">
        <f>+F27+F24+F21+F17+F11+F5</f>
        <v>0</v>
      </c>
    </row>
    <row r="29" spans="1:6" x14ac:dyDescent="0.3">
      <c r="A29" s="39"/>
      <c r="B29" s="39"/>
      <c r="D29" s="39"/>
      <c r="E29" s="39"/>
      <c r="F29" s="214"/>
    </row>
    <row r="30" spans="1:6" x14ac:dyDescent="0.3">
      <c r="A30" s="39"/>
      <c r="B30" s="39"/>
      <c r="D30" s="39"/>
      <c r="E30" s="39"/>
      <c r="F30" s="214"/>
    </row>
    <row r="31" spans="1:6" x14ac:dyDescent="0.3">
      <c r="A31" s="39"/>
      <c r="B31" s="39"/>
      <c r="D31" s="39"/>
      <c r="E31" s="39"/>
      <c r="F31" s="214"/>
    </row>
    <row r="32" spans="1:6" x14ac:dyDescent="0.3">
      <c r="A32" s="39"/>
      <c r="B32" s="39"/>
      <c r="D32" s="39"/>
      <c r="E32" s="39"/>
      <c r="F32" s="214"/>
    </row>
    <row r="33" spans="1:6" x14ac:dyDescent="0.3">
      <c r="A33" s="39"/>
      <c r="B33" s="39"/>
      <c r="D33" s="39"/>
      <c r="E33" s="39"/>
      <c r="F33" s="214"/>
    </row>
    <row r="34" spans="1:6" x14ac:dyDescent="0.3">
      <c r="A34" s="39"/>
      <c r="B34" s="39"/>
      <c r="D34" s="39"/>
      <c r="E34" s="39"/>
      <c r="F34" s="214"/>
    </row>
    <row r="35" spans="1:6" x14ac:dyDescent="0.3">
      <c r="A35" s="39"/>
      <c r="B35" s="39"/>
      <c r="D35" s="39"/>
      <c r="E35" s="39"/>
      <c r="F35" s="214"/>
    </row>
    <row r="36" spans="1:6" x14ac:dyDescent="0.3">
      <c r="A36" s="39"/>
      <c r="B36" s="39"/>
      <c r="D36" s="39"/>
      <c r="E36" s="39"/>
      <c r="F36" s="214"/>
    </row>
    <row r="37" spans="1:6" x14ac:dyDescent="0.3">
      <c r="A37" s="39"/>
      <c r="B37" s="39"/>
      <c r="D37" s="39"/>
      <c r="E37" s="39"/>
      <c r="F37" s="214"/>
    </row>
    <row r="38" spans="1:6" x14ac:dyDescent="0.3">
      <c r="A38" s="39"/>
      <c r="B38" s="39"/>
      <c r="D38" s="39"/>
      <c r="E38" s="39"/>
      <c r="F38" s="214"/>
    </row>
    <row r="39" spans="1:6" x14ac:dyDescent="0.3">
      <c r="A39" s="39"/>
      <c r="B39" s="39"/>
      <c r="D39" s="39"/>
      <c r="E39" s="39"/>
      <c r="F39" s="214"/>
    </row>
    <row r="40" spans="1:6" x14ac:dyDescent="0.3">
      <c r="A40" s="39"/>
      <c r="B40" s="39"/>
      <c r="D40" s="39"/>
      <c r="E40" s="39"/>
      <c r="F40" s="214"/>
    </row>
    <row r="41" spans="1:6" x14ac:dyDescent="0.3">
      <c r="A41" s="39"/>
      <c r="B41" s="39"/>
      <c r="D41" s="39"/>
      <c r="E41" s="39"/>
      <c r="F41" s="214"/>
    </row>
    <row r="42" spans="1:6" x14ac:dyDescent="0.3">
      <c r="A42" s="39"/>
      <c r="B42" s="39"/>
      <c r="D42" s="39"/>
      <c r="E42" s="39"/>
      <c r="F42" s="214"/>
    </row>
    <row r="43" spans="1:6" x14ac:dyDescent="0.3">
      <c r="A43" s="39"/>
      <c r="B43" s="39"/>
      <c r="D43" s="39"/>
      <c r="E43" s="39"/>
      <c r="F43" s="214"/>
    </row>
    <row r="44" spans="1:6" x14ac:dyDescent="0.3">
      <c r="A44" s="39"/>
      <c r="B44" s="39"/>
      <c r="D44" s="39"/>
      <c r="E44" s="39"/>
      <c r="F44" s="214"/>
    </row>
    <row r="45" spans="1:6" x14ac:dyDescent="0.3">
      <c r="A45" s="39"/>
      <c r="B45" s="39"/>
      <c r="D45" s="39"/>
      <c r="E45" s="39"/>
      <c r="F45" s="214"/>
    </row>
    <row r="46" spans="1:6" x14ac:dyDescent="0.3">
      <c r="A46" s="39"/>
      <c r="B46" s="39"/>
      <c r="D46" s="39"/>
      <c r="E46" s="39"/>
      <c r="F46" s="214"/>
    </row>
    <row r="47" spans="1:6" x14ac:dyDescent="0.3">
      <c r="A47" s="39"/>
      <c r="B47" s="39"/>
      <c r="D47" s="39"/>
      <c r="E47" s="39"/>
      <c r="F47" s="214"/>
    </row>
    <row r="48" spans="1:6" x14ac:dyDescent="0.3">
      <c r="A48" s="39"/>
      <c r="B48" s="39"/>
      <c r="D48" s="39"/>
      <c r="E48" s="39"/>
      <c r="F48" s="214"/>
    </row>
    <row r="49" spans="1:6" x14ac:dyDescent="0.3">
      <c r="A49" s="39"/>
      <c r="B49" s="39"/>
      <c r="D49" s="39"/>
      <c r="E49" s="39"/>
      <c r="F49" s="214"/>
    </row>
    <row r="50" spans="1:6" x14ac:dyDescent="0.3">
      <c r="A50" s="39"/>
      <c r="B50" s="39"/>
      <c r="D50" s="39"/>
      <c r="E50" s="39"/>
      <c r="F50" s="214"/>
    </row>
    <row r="51" spans="1:6" x14ac:dyDescent="0.3">
      <c r="A51" s="39"/>
      <c r="B51" s="39"/>
      <c r="D51" s="39"/>
      <c r="E51" s="39"/>
      <c r="F51" s="214"/>
    </row>
    <row r="52" spans="1:6" x14ac:dyDescent="0.3">
      <c r="A52" s="39"/>
      <c r="B52" s="39"/>
      <c r="D52" s="39"/>
      <c r="E52" s="39"/>
      <c r="F52" s="214"/>
    </row>
    <row r="53" spans="1:6" x14ac:dyDescent="0.3">
      <c r="A53" s="39"/>
      <c r="B53" s="39"/>
      <c r="D53" s="39"/>
      <c r="E53" s="39"/>
      <c r="F53" s="214"/>
    </row>
    <row r="54" spans="1:6" x14ac:dyDescent="0.3">
      <c r="A54" s="39"/>
      <c r="B54" s="39"/>
      <c r="D54" s="39"/>
      <c r="E54" s="39"/>
      <c r="F54" s="214"/>
    </row>
    <row r="55" spans="1:6" x14ac:dyDescent="0.3">
      <c r="A55" s="39"/>
      <c r="B55" s="39"/>
      <c r="D55" s="39"/>
      <c r="E55" s="39"/>
      <c r="F55" s="214"/>
    </row>
    <row r="56" spans="1:6" x14ac:dyDescent="0.3">
      <c r="A56" s="39"/>
      <c r="B56" s="39"/>
      <c r="D56" s="39"/>
      <c r="E56" s="39"/>
      <c r="F56" s="214"/>
    </row>
    <row r="57" spans="1:6" x14ac:dyDescent="0.3">
      <c r="A57" s="39"/>
      <c r="B57" s="39"/>
      <c r="D57" s="39"/>
      <c r="E57" s="39"/>
      <c r="F57" s="214"/>
    </row>
    <row r="58" spans="1:6" x14ac:dyDescent="0.3">
      <c r="A58" s="39"/>
      <c r="B58" s="39"/>
      <c r="D58" s="39"/>
      <c r="E58" s="39"/>
      <c r="F58" s="214"/>
    </row>
    <row r="59" spans="1:6" x14ac:dyDescent="0.3">
      <c r="A59" s="39"/>
      <c r="B59" s="39"/>
      <c r="D59" s="39"/>
      <c r="E59" s="39"/>
      <c r="F59" s="214"/>
    </row>
    <row r="60" spans="1:6" x14ac:dyDescent="0.3">
      <c r="A60" s="39"/>
      <c r="B60" s="39"/>
      <c r="D60" s="39"/>
      <c r="E60" s="39"/>
      <c r="F60" s="214"/>
    </row>
    <row r="61" spans="1:6" x14ac:dyDescent="0.3">
      <c r="A61" s="39"/>
      <c r="B61" s="39"/>
      <c r="D61" s="39"/>
      <c r="E61" s="39"/>
      <c r="F61" s="214"/>
    </row>
    <row r="62" spans="1:6" x14ac:dyDescent="0.3">
      <c r="A62" s="39"/>
      <c r="B62" s="39"/>
      <c r="D62" s="39"/>
      <c r="E62" s="39"/>
      <c r="F62" s="214"/>
    </row>
    <row r="63" spans="1:6" x14ac:dyDescent="0.3">
      <c r="A63" s="39"/>
      <c r="B63" s="39"/>
      <c r="D63" s="39"/>
      <c r="E63" s="39"/>
      <c r="F63" s="214"/>
    </row>
    <row r="64" spans="1:6" x14ac:dyDescent="0.3">
      <c r="A64" s="39"/>
      <c r="B64" s="39"/>
      <c r="D64" s="39"/>
      <c r="E64" s="39"/>
      <c r="F64" s="214"/>
    </row>
    <row r="65" spans="1:6" x14ac:dyDescent="0.3">
      <c r="A65" s="39"/>
      <c r="B65" s="39"/>
      <c r="D65" s="39"/>
      <c r="E65" s="39"/>
      <c r="F65" s="214"/>
    </row>
    <row r="66" spans="1:6" x14ac:dyDescent="0.3">
      <c r="A66" s="39"/>
      <c r="B66" s="39"/>
      <c r="D66" s="39"/>
      <c r="E66" s="39"/>
      <c r="F66" s="214"/>
    </row>
    <row r="67" spans="1:6" x14ac:dyDescent="0.3">
      <c r="A67" s="39"/>
      <c r="B67" s="39"/>
      <c r="D67" s="39"/>
      <c r="E67" s="39"/>
      <c r="F67" s="214"/>
    </row>
    <row r="68" spans="1:6" x14ac:dyDescent="0.3">
      <c r="A68" s="39"/>
      <c r="B68" s="39"/>
      <c r="D68" s="39"/>
      <c r="E68" s="39"/>
      <c r="F68" s="214"/>
    </row>
    <row r="69" spans="1:6" x14ac:dyDescent="0.3">
      <c r="A69" s="39"/>
      <c r="B69" s="39"/>
      <c r="D69" s="39"/>
      <c r="E69" s="39"/>
      <c r="F69" s="214"/>
    </row>
  </sheetData>
  <mergeCells count="10">
    <mergeCell ref="A1:F1"/>
    <mergeCell ref="B3:F3"/>
    <mergeCell ref="A5:B5"/>
    <mergeCell ref="A11:B11"/>
    <mergeCell ref="B12:C12"/>
    <mergeCell ref="A17:B17"/>
    <mergeCell ref="A24:B24"/>
    <mergeCell ref="A27:B27"/>
    <mergeCell ref="A28:E28"/>
    <mergeCell ref="A21:B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2"/>
  <sheetViews>
    <sheetView topLeftCell="A16" workbookViewId="0">
      <selection activeCell="I30" sqref="I30"/>
    </sheetView>
  </sheetViews>
  <sheetFormatPr baseColWidth="10" defaultColWidth="9.109375" defaultRowHeight="13.8" x14ac:dyDescent="0.3"/>
  <cols>
    <col min="1" max="1" width="9.33203125" style="86" customWidth="1"/>
    <col min="2" max="2" width="42.88671875" style="87" customWidth="1"/>
    <col min="3" max="3" width="8.5546875" style="39" customWidth="1"/>
    <col min="4" max="4" width="9" style="89" customWidth="1"/>
    <col min="5" max="5" width="12.88671875" style="92" bestFit="1" customWidth="1"/>
    <col min="6" max="6" width="13.44140625" style="99" customWidth="1"/>
    <col min="7" max="7" width="9.109375" style="39"/>
    <col min="8" max="8" width="14.44140625" style="39" bestFit="1" customWidth="1"/>
    <col min="9" max="246" width="9.109375" style="39"/>
    <col min="247" max="247" width="4.5546875" style="39" customWidth="1"/>
    <col min="248" max="248" width="52.5546875" style="39" customWidth="1"/>
    <col min="249" max="249" width="2.88671875" style="39" customWidth="1"/>
    <col min="250" max="250" width="8.109375" style="39" customWidth="1"/>
    <col min="251" max="251" width="12.5546875" style="39" customWidth="1"/>
    <col min="252" max="252" width="9.109375" style="39" customWidth="1"/>
    <col min="253" max="502" width="9.109375" style="39"/>
    <col min="503" max="503" width="4.5546875" style="39" customWidth="1"/>
    <col min="504" max="504" width="52.5546875" style="39" customWidth="1"/>
    <col min="505" max="505" width="2.88671875" style="39" customWidth="1"/>
    <col min="506" max="506" width="8.109375" style="39" customWidth="1"/>
    <col min="507" max="507" width="12.5546875" style="39" customWidth="1"/>
    <col min="508" max="508" width="9.109375" style="39" customWidth="1"/>
    <col min="509" max="758" width="9.109375" style="39"/>
    <col min="759" max="759" width="4.5546875" style="39" customWidth="1"/>
    <col min="760" max="760" width="52.5546875" style="39" customWidth="1"/>
    <col min="761" max="761" width="2.88671875" style="39" customWidth="1"/>
    <col min="762" max="762" width="8.109375" style="39" customWidth="1"/>
    <col min="763" max="763" width="12.5546875" style="39" customWidth="1"/>
    <col min="764" max="764" width="9.109375" style="39" customWidth="1"/>
    <col min="765" max="1014" width="9.109375" style="39"/>
    <col min="1015" max="1015" width="4.5546875" style="39" customWidth="1"/>
    <col min="1016" max="1016" width="52.5546875" style="39" customWidth="1"/>
    <col min="1017" max="1017" width="2.88671875" style="39" customWidth="1"/>
    <col min="1018" max="1018" width="8.109375" style="39" customWidth="1"/>
    <col min="1019" max="1019" width="12.5546875" style="39" customWidth="1"/>
    <col min="1020" max="1020" width="9.109375" style="39" customWidth="1"/>
    <col min="1021" max="1270" width="9.109375" style="39"/>
    <col min="1271" max="1271" width="4.5546875" style="39" customWidth="1"/>
    <col min="1272" max="1272" width="52.5546875" style="39" customWidth="1"/>
    <col min="1273" max="1273" width="2.88671875" style="39" customWidth="1"/>
    <col min="1274" max="1274" width="8.109375" style="39" customWidth="1"/>
    <col min="1275" max="1275" width="12.5546875" style="39" customWidth="1"/>
    <col min="1276" max="1276" width="9.109375" style="39" customWidth="1"/>
    <col min="1277" max="1526" width="9.109375" style="39"/>
    <col min="1527" max="1527" width="4.5546875" style="39" customWidth="1"/>
    <col min="1528" max="1528" width="52.5546875" style="39" customWidth="1"/>
    <col min="1529" max="1529" width="2.88671875" style="39" customWidth="1"/>
    <col min="1530" max="1530" width="8.109375" style="39" customWidth="1"/>
    <col min="1531" max="1531" width="12.5546875" style="39" customWidth="1"/>
    <col min="1532" max="1532" width="9.109375" style="39" customWidth="1"/>
    <col min="1533" max="1782" width="9.109375" style="39"/>
    <col min="1783" max="1783" width="4.5546875" style="39" customWidth="1"/>
    <col min="1784" max="1784" width="52.5546875" style="39" customWidth="1"/>
    <col min="1785" max="1785" width="2.88671875" style="39" customWidth="1"/>
    <col min="1786" max="1786" width="8.109375" style="39" customWidth="1"/>
    <col min="1787" max="1787" width="12.5546875" style="39" customWidth="1"/>
    <col min="1788" max="1788" width="9.109375" style="39" customWidth="1"/>
    <col min="1789" max="2038" width="9.109375" style="39"/>
    <col min="2039" max="2039" width="4.5546875" style="39" customWidth="1"/>
    <col min="2040" max="2040" width="52.5546875" style="39" customWidth="1"/>
    <col min="2041" max="2041" width="2.88671875" style="39" customWidth="1"/>
    <col min="2042" max="2042" width="8.109375" style="39" customWidth="1"/>
    <col min="2043" max="2043" width="12.5546875" style="39" customWidth="1"/>
    <col min="2044" max="2044" width="9.109375" style="39" customWidth="1"/>
    <col min="2045" max="2294" width="9.109375" style="39"/>
    <col min="2295" max="2295" width="4.5546875" style="39" customWidth="1"/>
    <col min="2296" max="2296" width="52.5546875" style="39" customWidth="1"/>
    <col min="2297" max="2297" width="2.88671875" style="39" customWidth="1"/>
    <col min="2298" max="2298" width="8.109375" style="39" customWidth="1"/>
    <col min="2299" max="2299" width="12.5546875" style="39" customWidth="1"/>
    <col min="2300" max="2300" width="9.109375" style="39" customWidth="1"/>
    <col min="2301" max="2550" width="9.109375" style="39"/>
    <col min="2551" max="2551" width="4.5546875" style="39" customWidth="1"/>
    <col min="2552" max="2552" width="52.5546875" style="39" customWidth="1"/>
    <col min="2553" max="2553" width="2.88671875" style="39" customWidth="1"/>
    <col min="2554" max="2554" width="8.109375" style="39" customWidth="1"/>
    <col min="2555" max="2555" width="12.5546875" style="39" customWidth="1"/>
    <col min="2556" max="2556" width="9.109375" style="39" customWidth="1"/>
    <col min="2557" max="2806" width="9.109375" style="39"/>
    <col min="2807" max="2807" width="4.5546875" style="39" customWidth="1"/>
    <col min="2808" max="2808" width="52.5546875" style="39" customWidth="1"/>
    <col min="2809" max="2809" width="2.88671875" style="39" customWidth="1"/>
    <col min="2810" max="2810" width="8.109375" style="39" customWidth="1"/>
    <col min="2811" max="2811" width="12.5546875" style="39" customWidth="1"/>
    <col min="2812" max="2812" width="9.109375" style="39" customWidth="1"/>
    <col min="2813" max="3062" width="9.109375" style="39"/>
    <col min="3063" max="3063" width="4.5546875" style="39" customWidth="1"/>
    <col min="3064" max="3064" width="52.5546875" style="39" customWidth="1"/>
    <col min="3065" max="3065" width="2.88671875" style="39" customWidth="1"/>
    <col min="3066" max="3066" width="8.109375" style="39" customWidth="1"/>
    <col min="3067" max="3067" width="12.5546875" style="39" customWidth="1"/>
    <col min="3068" max="3068" width="9.109375" style="39" customWidth="1"/>
    <col min="3069" max="3318" width="9.109375" style="39"/>
    <col min="3319" max="3319" width="4.5546875" style="39" customWidth="1"/>
    <col min="3320" max="3320" width="52.5546875" style="39" customWidth="1"/>
    <col min="3321" max="3321" width="2.88671875" style="39" customWidth="1"/>
    <col min="3322" max="3322" width="8.109375" style="39" customWidth="1"/>
    <col min="3323" max="3323" width="12.5546875" style="39" customWidth="1"/>
    <col min="3324" max="3324" width="9.109375" style="39" customWidth="1"/>
    <col min="3325" max="3574" width="9.109375" style="39"/>
    <col min="3575" max="3575" width="4.5546875" style="39" customWidth="1"/>
    <col min="3576" max="3576" width="52.5546875" style="39" customWidth="1"/>
    <col min="3577" max="3577" width="2.88671875" style="39" customWidth="1"/>
    <col min="3578" max="3578" width="8.109375" style="39" customWidth="1"/>
    <col min="3579" max="3579" width="12.5546875" style="39" customWidth="1"/>
    <col min="3580" max="3580" width="9.109375" style="39" customWidth="1"/>
    <col min="3581" max="3830" width="9.109375" style="39"/>
    <col min="3831" max="3831" width="4.5546875" style="39" customWidth="1"/>
    <col min="3832" max="3832" width="52.5546875" style="39" customWidth="1"/>
    <col min="3833" max="3833" width="2.88671875" style="39" customWidth="1"/>
    <col min="3834" max="3834" width="8.109375" style="39" customWidth="1"/>
    <col min="3835" max="3835" width="12.5546875" style="39" customWidth="1"/>
    <col min="3836" max="3836" width="9.109375" style="39" customWidth="1"/>
    <col min="3837" max="4086" width="9.109375" style="39"/>
    <col min="4087" max="4087" width="4.5546875" style="39" customWidth="1"/>
    <col min="4088" max="4088" width="52.5546875" style="39" customWidth="1"/>
    <col min="4089" max="4089" width="2.88671875" style="39" customWidth="1"/>
    <col min="4090" max="4090" width="8.109375" style="39" customWidth="1"/>
    <col min="4091" max="4091" width="12.5546875" style="39" customWidth="1"/>
    <col min="4092" max="4092" width="9.109375" style="39" customWidth="1"/>
    <col min="4093" max="4342" width="9.109375" style="39"/>
    <col min="4343" max="4343" width="4.5546875" style="39" customWidth="1"/>
    <col min="4344" max="4344" width="52.5546875" style="39" customWidth="1"/>
    <col min="4345" max="4345" width="2.88671875" style="39" customWidth="1"/>
    <col min="4346" max="4346" width="8.109375" style="39" customWidth="1"/>
    <col min="4347" max="4347" width="12.5546875" style="39" customWidth="1"/>
    <col min="4348" max="4348" width="9.109375" style="39" customWidth="1"/>
    <col min="4349" max="4598" width="9.109375" style="39"/>
    <col min="4599" max="4599" width="4.5546875" style="39" customWidth="1"/>
    <col min="4600" max="4600" width="52.5546875" style="39" customWidth="1"/>
    <col min="4601" max="4601" width="2.88671875" style="39" customWidth="1"/>
    <col min="4602" max="4602" width="8.109375" style="39" customWidth="1"/>
    <col min="4603" max="4603" width="12.5546875" style="39" customWidth="1"/>
    <col min="4604" max="4604" width="9.109375" style="39" customWidth="1"/>
    <col min="4605" max="4854" width="9.109375" style="39"/>
    <col min="4855" max="4855" width="4.5546875" style="39" customWidth="1"/>
    <col min="4856" max="4856" width="52.5546875" style="39" customWidth="1"/>
    <col min="4857" max="4857" width="2.88671875" style="39" customWidth="1"/>
    <col min="4858" max="4858" width="8.109375" style="39" customWidth="1"/>
    <col min="4859" max="4859" width="12.5546875" style="39" customWidth="1"/>
    <col min="4860" max="4860" width="9.109375" style="39" customWidth="1"/>
    <col min="4861" max="5110" width="9.109375" style="39"/>
    <col min="5111" max="5111" width="4.5546875" style="39" customWidth="1"/>
    <col min="5112" max="5112" width="52.5546875" style="39" customWidth="1"/>
    <col min="5113" max="5113" width="2.88671875" style="39" customWidth="1"/>
    <col min="5114" max="5114" width="8.109375" style="39" customWidth="1"/>
    <col min="5115" max="5115" width="12.5546875" style="39" customWidth="1"/>
    <col min="5116" max="5116" width="9.109375" style="39" customWidth="1"/>
    <col min="5117" max="5366" width="9.109375" style="39"/>
    <col min="5367" max="5367" width="4.5546875" style="39" customWidth="1"/>
    <col min="5368" max="5368" width="52.5546875" style="39" customWidth="1"/>
    <col min="5369" max="5369" width="2.88671875" style="39" customWidth="1"/>
    <col min="5370" max="5370" width="8.109375" style="39" customWidth="1"/>
    <col min="5371" max="5371" width="12.5546875" style="39" customWidth="1"/>
    <col min="5372" max="5372" width="9.109375" style="39" customWidth="1"/>
    <col min="5373" max="5622" width="9.109375" style="39"/>
    <col min="5623" max="5623" width="4.5546875" style="39" customWidth="1"/>
    <col min="5624" max="5624" width="52.5546875" style="39" customWidth="1"/>
    <col min="5625" max="5625" width="2.88671875" style="39" customWidth="1"/>
    <col min="5626" max="5626" width="8.109375" style="39" customWidth="1"/>
    <col min="5627" max="5627" width="12.5546875" style="39" customWidth="1"/>
    <col min="5628" max="5628" width="9.109375" style="39" customWidth="1"/>
    <col min="5629" max="5878" width="9.109375" style="39"/>
    <col min="5879" max="5879" width="4.5546875" style="39" customWidth="1"/>
    <col min="5880" max="5880" width="52.5546875" style="39" customWidth="1"/>
    <col min="5881" max="5881" width="2.88671875" style="39" customWidth="1"/>
    <col min="5882" max="5882" width="8.109375" style="39" customWidth="1"/>
    <col min="5883" max="5883" width="12.5546875" style="39" customWidth="1"/>
    <col min="5884" max="5884" width="9.109375" style="39" customWidth="1"/>
    <col min="5885" max="6134" width="9.109375" style="39"/>
    <col min="6135" max="6135" width="4.5546875" style="39" customWidth="1"/>
    <col min="6136" max="6136" width="52.5546875" style="39" customWidth="1"/>
    <col min="6137" max="6137" width="2.88671875" style="39" customWidth="1"/>
    <col min="6138" max="6138" width="8.109375" style="39" customWidth="1"/>
    <col min="6139" max="6139" width="12.5546875" style="39" customWidth="1"/>
    <col min="6140" max="6140" width="9.109375" style="39" customWidth="1"/>
    <col min="6141" max="6390" width="9.109375" style="39"/>
    <col min="6391" max="6391" width="4.5546875" style="39" customWidth="1"/>
    <col min="6392" max="6392" width="52.5546875" style="39" customWidth="1"/>
    <col min="6393" max="6393" width="2.88671875" style="39" customWidth="1"/>
    <col min="6394" max="6394" width="8.109375" style="39" customWidth="1"/>
    <col min="6395" max="6395" width="12.5546875" style="39" customWidth="1"/>
    <col min="6396" max="6396" width="9.109375" style="39" customWidth="1"/>
    <col min="6397" max="6646" width="9.109375" style="39"/>
    <col min="6647" max="6647" width="4.5546875" style="39" customWidth="1"/>
    <col min="6648" max="6648" width="52.5546875" style="39" customWidth="1"/>
    <col min="6649" max="6649" width="2.88671875" style="39" customWidth="1"/>
    <col min="6650" max="6650" width="8.109375" style="39" customWidth="1"/>
    <col min="6651" max="6651" width="12.5546875" style="39" customWidth="1"/>
    <col min="6652" max="6652" width="9.109375" style="39" customWidth="1"/>
    <col min="6653" max="6902" width="9.109375" style="39"/>
    <col min="6903" max="6903" width="4.5546875" style="39" customWidth="1"/>
    <col min="6904" max="6904" width="52.5546875" style="39" customWidth="1"/>
    <col min="6905" max="6905" width="2.88671875" style="39" customWidth="1"/>
    <col min="6906" max="6906" width="8.109375" style="39" customWidth="1"/>
    <col min="6907" max="6907" width="12.5546875" style="39" customWidth="1"/>
    <col min="6908" max="6908" width="9.109375" style="39" customWidth="1"/>
    <col min="6909" max="7158" width="9.109375" style="39"/>
    <col min="7159" max="7159" width="4.5546875" style="39" customWidth="1"/>
    <col min="7160" max="7160" width="52.5546875" style="39" customWidth="1"/>
    <col min="7161" max="7161" width="2.88671875" style="39" customWidth="1"/>
    <col min="7162" max="7162" width="8.109375" style="39" customWidth="1"/>
    <col min="7163" max="7163" width="12.5546875" style="39" customWidth="1"/>
    <col min="7164" max="7164" width="9.109375" style="39" customWidth="1"/>
    <col min="7165" max="7414" width="9.109375" style="39"/>
    <col min="7415" max="7415" width="4.5546875" style="39" customWidth="1"/>
    <col min="7416" max="7416" width="52.5546875" style="39" customWidth="1"/>
    <col min="7417" max="7417" width="2.88671875" style="39" customWidth="1"/>
    <col min="7418" max="7418" width="8.109375" style="39" customWidth="1"/>
    <col min="7419" max="7419" width="12.5546875" style="39" customWidth="1"/>
    <col min="7420" max="7420" width="9.109375" style="39" customWidth="1"/>
    <col min="7421" max="7670" width="9.109375" style="39"/>
    <col min="7671" max="7671" width="4.5546875" style="39" customWidth="1"/>
    <col min="7672" max="7672" width="52.5546875" style="39" customWidth="1"/>
    <col min="7673" max="7673" width="2.88671875" style="39" customWidth="1"/>
    <col min="7674" max="7674" width="8.109375" style="39" customWidth="1"/>
    <col min="7675" max="7675" width="12.5546875" style="39" customWidth="1"/>
    <col min="7676" max="7676" width="9.109375" style="39" customWidth="1"/>
    <col min="7677" max="7926" width="9.109375" style="39"/>
    <col min="7927" max="7927" width="4.5546875" style="39" customWidth="1"/>
    <col min="7928" max="7928" width="52.5546875" style="39" customWidth="1"/>
    <col min="7929" max="7929" width="2.88671875" style="39" customWidth="1"/>
    <col min="7930" max="7930" width="8.109375" style="39" customWidth="1"/>
    <col min="7931" max="7931" width="12.5546875" style="39" customWidth="1"/>
    <col min="7932" max="7932" width="9.109375" style="39" customWidth="1"/>
    <col min="7933" max="8182" width="9.109375" style="39"/>
    <col min="8183" max="8183" width="4.5546875" style="39" customWidth="1"/>
    <col min="8184" max="8184" width="52.5546875" style="39" customWidth="1"/>
    <col min="8185" max="8185" width="2.88671875" style="39" customWidth="1"/>
    <col min="8186" max="8186" width="8.109375" style="39" customWidth="1"/>
    <col min="8187" max="8187" width="12.5546875" style="39" customWidth="1"/>
    <col min="8188" max="8188" width="9.109375" style="39" customWidth="1"/>
    <col min="8189" max="8438" width="9.109375" style="39"/>
    <col min="8439" max="8439" width="4.5546875" style="39" customWidth="1"/>
    <col min="8440" max="8440" width="52.5546875" style="39" customWidth="1"/>
    <col min="8441" max="8441" width="2.88671875" style="39" customWidth="1"/>
    <col min="8442" max="8442" width="8.109375" style="39" customWidth="1"/>
    <col min="8443" max="8443" width="12.5546875" style="39" customWidth="1"/>
    <col min="8444" max="8444" width="9.109375" style="39" customWidth="1"/>
    <col min="8445" max="8694" width="9.109375" style="39"/>
    <col min="8695" max="8695" width="4.5546875" style="39" customWidth="1"/>
    <col min="8696" max="8696" width="52.5546875" style="39" customWidth="1"/>
    <col min="8697" max="8697" width="2.88671875" style="39" customWidth="1"/>
    <col min="8698" max="8698" width="8.109375" style="39" customWidth="1"/>
    <col min="8699" max="8699" width="12.5546875" style="39" customWidth="1"/>
    <col min="8700" max="8700" width="9.109375" style="39" customWidth="1"/>
    <col min="8701" max="8950" width="9.109375" style="39"/>
    <col min="8951" max="8951" width="4.5546875" style="39" customWidth="1"/>
    <col min="8952" max="8952" width="52.5546875" style="39" customWidth="1"/>
    <col min="8953" max="8953" width="2.88671875" style="39" customWidth="1"/>
    <col min="8954" max="8954" width="8.109375" style="39" customWidth="1"/>
    <col min="8955" max="8955" width="12.5546875" style="39" customWidth="1"/>
    <col min="8956" max="8956" width="9.109375" style="39" customWidth="1"/>
    <col min="8957" max="9206" width="9.109375" style="39"/>
    <col min="9207" max="9207" width="4.5546875" style="39" customWidth="1"/>
    <col min="9208" max="9208" width="52.5546875" style="39" customWidth="1"/>
    <col min="9209" max="9209" width="2.88671875" style="39" customWidth="1"/>
    <col min="9210" max="9210" width="8.109375" style="39" customWidth="1"/>
    <col min="9211" max="9211" width="12.5546875" style="39" customWidth="1"/>
    <col min="9212" max="9212" width="9.109375" style="39" customWidth="1"/>
    <col min="9213" max="9462" width="9.109375" style="39"/>
    <col min="9463" max="9463" width="4.5546875" style="39" customWidth="1"/>
    <col min="9464" max="9464" width="52.5546875" style="39" customWidth="1"/>
    <col min="9465" max="9465" width="2.88671875" style="39" customWidth="1"/>
    <col min="9466" max="9466" width="8.109375" style="39" customWidth="1"/>
    <col min="9467" max="9467" width="12.5546875" style="39" customWidth="1"/>
    <col min="9468" max="9468" width="9.109375" style="39" customWidth="1"/>
    <col min="9469" max="9718" width="9.109375" style="39"/>
    <col min="9719" max="9719" width="4.5546875" style="39" customWidth="1"/>
    <col min="9720" max="9720" width="52.5546875" style="39" customWidth="1"/>
    <col min="9721" max="9721" width="2.88671875" style="39" customWidth="1"/>
    <col min="9722" max="9722" width="8.109375" style="39" customWidth="1"/>
    <col min="9723" max="9723" width="12.5546875" style="39" customWidth="1"/>
    <col min="9724" max="9724" width="9.109375" style="39" customWidth="1"/>
    <col min="9725" max="9974" width="9.109375" style="39"/>
    <col min="9975" max="9975" width="4.5546875" style="39" customWidth="1"/>
    <col min="9976" max="9976" width="52.5546875" style="39" customWidth="1"/>
    <col min="9977" max="9977" width="2.88671875" style="39" customWidth="1"/>
    <col min="9978" max="9978" width="8.109375" style="39" customWidth="1"/>
    <col min="9979" max="9979" width="12.5546875" style="39" customWidth="1"/>
    <col min="9980" max="9980" width="9.109375" style="39" customWidth="1"/>
    <col min="9981" max="10230" width="9.109375" style="39"/>
    <col min="10231" max="10231" width="4.5546875" style="39" customWidth="1"/>
    <col min="10232" max="10232" width="52.5546875" style="39" customWidth="1"/>
    <col min="10233" max="10233" width="2.88671875" style="39" customWidth="1"/>
    <col min="10234" max="10234" width="8.109375" style="39" customWidth="1"/>
    <col min="10235" max="10235" width="12.5546875" style="39" customWidth="1"/>
    <col min="10236" max="10236" width="9.109375" style="39" customWidth="1"/>
    <col min="10237" max="10486" width="9.109375" style="39"/>
    <col min="10487" max="10487" width="4.5546875" style="39" customWidth="1"/>
    <col min="10488" max="10488" width="52.5546875" style="39" customWidth="1"/>
    <col min="10489" max="10489" width="2.88671875" style="39" customWidth="1"/>
    <col min="10490" max="10490" width="8.109375" style="39" customWidth="1"/>
    <col min="10491" max="10491" width="12.5546875" style="39" customWidth="1"/>
    <col min="10492" max="10492" width="9.109375" style="39" customWidth="1"/>
    <col min="10493" max="10742" width="9.109375" style="39"/>
    <col min="10743" max="10743" width="4.5546875" style="39" customWidth="1"/>
    <col min="10744" max="10744" width="52.5546875" style="39" customWidth="1"/>
    <col min="10745" max="10745" width="2.88671875" style="39" customWidth="1"/>
    <col min="10746" max="10746" width="8.109375" style="39" customWidth="1"/>
    <col min="10747" max="10747" width="12.5546875" style="39" customWidth="1"/>
    <col min="10748" max="10748" width="9.109375" style="39" customWidth="1"/>
    <col min="10749" max="10998" width="9.109375" style="39"/>
    <col min="10999" max="10999" width="4.5546875" style="39" customWidth="1"/>
    <col min="11000" max="11000" width="52.5546875" style="39" customWidth="1"/>
    <col min="11001" max="11001" width="2.88671875" style="39" customWidth="1"/>
    <col min="11002" max="11002" width="8.109375" style="39" customWidth="1"/>
    <col min="11003" max="11003" width="12.5546875" style="39" customWidth="1"/>
    <col min="11004" max="11004" width="9.109375" style="39" customWidth="1"/>
    <col min="11005" max="11254" width="9.109375" style="39"/>
    <col min="11255" max="11255" width="4.5546875" style="39" customWidth="1"/>
    <col min="11256" max="11256" width="52.5546875" style="39" customWidth="1"/>
    <col min="11257" max="11257" width="2.88671875" style="39" customWidth="1"/>
    <col min="11258" max="11258" width="8.109375" style="39" customWidth="1"/>
    <col min="11259" max="11259" width="12.5546875" style="39" customWidth="1"/>
    <col min="11260" max="11260" width="9.109375" style="39" customWidth="1"/>
    <col min="11261" max="11510" width="9.109375" style="39"/>
    <col min="11511" max="11511" width="4.5546875" style="39" customWidth="1"/>
    <col min="11512" max="11512" width="52.5546875" style="39" customWidth="1"/>
    <col min="11513" max="11513" width="2.88671875" style="39" customWidth="1"/>
    <col min="11514" max="11514" width="8.109375" style="39" customWidth="1"/>
    <col min="11515" max="11515" width="12.5546875" style="39" customWidth="1"/>
    <col min="11516" max="11516" width="9.109375" style="39" customWidth="1"/>
    <col min="11517" max="11766" width="9.109375" style="39"/>
    <col min="11767" max="11767" width="4.5546875" style="39" customWidth="1"/>
    <col min="11768" max="11768" width="52.5546875" style="39" customWidth="1"/>
    <col min="11769" max="11769" width="2.88671875" style="39" customWidth="1"/>
    <col min="11770" max="11770" width="8.109375" style="39" customWidth="1"/>
    <col min="11771" max="11771" width="12.5546875" style="39" customWidth="1"/>
    <col min="11772" max="11772" width="9.109375" style="39" customWidth="1"/>
    <col min="11773" max="12022" width="9.109375" style="39"/>
    <col min="12023" max="12023" width="4.5546875" style="39" customWidth="1"/>
    <col min="12024" max="12024" width="52.5546875" style="39" customWidth="1"/>
    <col min="12025" max="12025" width="2.88671875" style="39" customWidth="1"/>
    <col min="12026" max="12026" width="8.109375" style="39" customWidth="1"/>
    <col min="12027" max="12027" width="12.5546875" style="39" customWidth="1"/>
    <col min="12028" max="12028" width="9.109375" style="39" customWidth="1"/>
    <col min="12029" max="12278" width="9.109375" style="39"/>
    <col min="12279" max="12279" width="4.5546875" style="39" customWidth="1"/>
    <col min="12280" max="12280" width="52.5546875" style="39" customWidth="1"/>
    <col min="12281" max="12281" width="2.88671875" style="39" customWidth="1"/>
    <col min="12282" max="12282" width="8.109375" style="39" customWidth="1"/>
    <col min="12283" max="12283" width="12.5546875" style="39" customWidth="1"/>
    <col min="12284" max="12284" width="9.109375" style="39" customWidth="1"/>
    <col min="12285" max="12534" width="9.109375" style="39"/>
    <col min="12535" max="12535" width="4.5546875" style="39" customWidth="1"/>
    <col min="12536" max="12536" width="52.5546875" style="39" customWidth="1"/>
    <col min="12537" max="12537" width="2.88671875" style="39" customWidth="1"/>
    <col min="12538" max="12538" width="8.109375" style="39" customWidth="1"/>
    <col min="12539" max="12539" width="12.5546875" style="39" customWidth="1"/>
    <col min="12540" max="12540" width="9.109375" style="39" customWidth="1"/>
    <col min="12541" max="12790" width="9.109375" style="39"/>
    <col min="12791" max="12791" width="4.5546875" style="39" customWidth="1"/>
    <col min="12792" max="12792" width="52.5546875" style="39" customWidth="1"/>
    <col min="12793" max="12793" width="2.88671875" style="39" customWidth="1"/>
    <col min="12794" max="12794" width="8.109375" style="39" customWidth="1"/>
    <col min="12795" max="12795" width="12.5546875" style="39" customWidth="1"/>
    <col min="12796" max="12796" width="9.109375" style="39" customWidth="1"/>
    <col min="12797" max="13046" width="9.109375" style="39"/>
    <col min="13047" max="13047" width="4.5546875" style="39" customWidth="1"/>
    <col min="13048" max="13048" width="52.5546875" style="39" customWidth="1"/>
    <col min="13049" max="13049" width="2.88671875" style="39" customWidth="1"/>
    <col min="13050" max="13050" width="8.109375" style="39" customWidth="1"/>
    <col min="13051" max="13051" width="12.5546875" style="39" customWidth="1"/>
    <col min="13052" max="13052" width="9.109375" style="39" customWidth="1"/>
    <col min="13053" max="13302" width="9.109375" style="39"/>
    <col min="13303" max="13303" width="4.5546875" style="39" customWidth="1"/>
    <col min="13304" max="13304" width="52.5546875" style="39" customWidth="1"/>
    <col min="13305" max="13305" width="2.88671875" style="39" customWidth="1"/>
    <col min="13306" max="13306" width="8.109375" style="39" customWidth="1"/>
    <col min="13307" max="13307" width="12.5546875" style="39" customWidth="1"/>
    <col min="13308" max="13308" width="9.109375" style="39" customWidth="1"/>
    <col min="13309" max="13558" width="9.109375" style="39"/>
    <col min="13559" max="13559" width="4.5546875" style="39" customWidth="1"/>
    <col min="13560" max="13560" width="52.5546875" style="39" customWidth="1"/>
    <col min="13561" max="13561" width="2.88671875" style="39" customWidth="1"/>
    <col min="13562" max="13562" width="8.109375" style="39" customWidth="1"/>
    <col min="13563" max="13563" width="12.5546875" style="39" customWidth="1"/>
    <col min="13564" max="13564" width="9.109375" style="39" customWidth="1"/>
    <col min="13565" max="13814" width="9.109375" style="39"/>
    <col min="13815" max="13815" width="4.5546875" style="39" customWidth="1"/>
    <col min="13816" max="13816" width="52.5546875" style="39" customWidth="1"/>
    <col min="13817" max="13817" width="2.88671875" style="39" customWidth="1"/>
    <col min="13818" max="13818" width="8.109375" style="39" customWidth="1"/>
    <col min="13819" max="13819" width="12.5546875" style="39" customWidth="1"/>
    <col min="13820" max="13820" width="9.109375" style="39" customWidth="1"/>
    <col min="13821" max="14070" width="9.109375" style="39"/>
    <col min="14071" max="14071" width="4.5546875" style="39" customWidth="1"/>
    <col min="14072" max="14072" width="52.5546875" style="39" customWidth="1"/>
    <col min="14073" max="14073" width="2.88671875" style="39" customWidth="1"/>
    <col min="14074" max="14074" width="8.109375" style="39" customWidth="1"/>
    <col min="14075" max="14075" width="12.5546875" style="39" customWidth="1"/>
    <col min="14076" max="14076" width="9.109375" style="39" customWidth="1"/>
    <col min="14077" max="14326" width="9.109375" style="39"/>
    <col min="14327" max="14327" width="4.5546875" style="39" customWidth="1"/>
    <col min="14328" max="14328" width="52.5546875" style="39" customWidth="1"/>
    <col min="14329" max="14329" width="2.88671875" style="39" customWidth="1"/>
    <col min="14330" max="14330" width="8.109375" style="39" customWidth="1"/>
    <col min="14331" max="14331" width="12.5546875" style="39" customWidth="1"/>
    <col min="14332" max="14332" width="9.109375" style="39" customWidth="1"/>
    <col min="14333" max="14582" width="9.109375" style="39"/>
    <col min="14583" max="14583" width="4.5546875" style="39" customWidth="1"/>
    <col min="14584" max="14584" width="52.5546875" style="39" customWidth="1"/>
    <col min="14585" max="14585" width="2.88671875" style="39" customWidth="1"/>
    <col min="14586" max="14586" width="8.109375" style="39" customWidth="1"/>
    <col min="14587" max="14587" width="12.5546875" style="39" customWidth="1"/>
    <col min="14588" max="14588" width="9.109375" style="39" customWidth="1"/>
    <col min="14589" max="14838" width="9.109375" style="39"/>
    <col min="14839" max="14839" width="4.5546875" style="39" customWidth="1"/>
    <col min="14840" max="14840" width="52.5546875" style="39" customWidth="1"/>
    <col min="14841" max="14841" width="2.88671875" style="39" customWidth="1"/>
    <col min="14842" max="14842" width="8.109375" style="39" customWidth="1"/>
    <col min="14843" max="14843" width="12.5546875" style="39" customWidth="1"/>
    <col min="14844" max="14844" width="9.109375" style="39" customWidth="1"/>
    <col min="14845" max="15094" width="9.109375" style="39"/>
    <col min="15095" max="15095" width="4.5546875" style="39" customWidth="1"/>
    <col min="15096" max="15096" width="52.5546875" style="39" customWidth="1"/>
    <col min="15097" max="15097" width="2.88671875" style="39" customWidth="1"/>
    <col min="15098" max="15098" width="8.109375" style="39" customWidth="1"/>
    <col min="15099" max="15099" width="12.5546875" style="39" customWidth="1"/>
    <col min="15100" max="15100" width="9.109375" style="39" customWidth="1"/>
    <col min="15101" max="15350" width="9.109375" style="39"/>
    <col min="15351" max="15351" width="4.5546875" style="39" customWidth="1"/>
    <col min="15352" max="15352" width="52.5546875" style="39" customWidth="1"/>
    <col min="15353" max="15353" width="2.88671875" style="39" customWidth="1"/>
    <col min="15354" max="15354" width="8.109375" style="39" customWidth="1"/>
    <col min="15355" max="15355" width="12.5546875" style="39" customWidth="1"/>
    <col min="15356" max="15356" width="9.109375" style="39" customWidth="1"/>
    <col min="15357" max="15606" width="9.109375" style="39"/>
    <col min="15607" max="15607" width="4.5546875" style="39" customWidth="1"/>
    <col min="15608" max="15608" width="52.5546875" style="39" customWidth="1"/>
    <col min="15609" max="15609" width="2.88671875" style="39" customWidth="1"/>
    <col min="15610" max="15610" width="8.109375" style="39" customWidth="1"/>
    <col min="15611" max="15611" width="12.5546875" style="39" customWidth="1"/>
    <col min="15612" max="15612" width="9.109375" style="39" customWidth="1"/>
    <col min="15613" max="15862" width="9.109375" style="39"/>
    <col min="15863" max="15863" width="4.5546875" style="39" customWidth="1"/>
    <col min="15864" max="15864" width="52.5546875" style="39" customWidth="1"/>
    <col min="15865" max="15865" width="2.88671875" style="39" customWidth="1"/>
    <col min="15866" max="15866" width="8.109375" style="39" customWidth="1"/>
    <col min="15867" max="15867" width="12.5546875" style="39" customWidth="1"/>
    <col min="15868" max="15868" width="9.109375" style="39" customWidth="1"/>
    <col min="15869" max="16118" width="9.109375" style="39"/>
    <col min="16119" max="16119" width="4.5546875" style="39" customWidth="1"/>
    <col min="16120" max="16120" width="52.5546875" style="39" customWidth="1"/>
    <col min="16121" max="16121" width="2.88671875" style="39" customWidth="1"/>
    <col min="16122" max="16122" width="8.109375" style="39" customWidth="1"/>
    <col min="16123" max="16123" width="12.5546875" style="39" customWidth="1"/>
    <col min="16124" max="16124" width="9.109375" style="39" customWidth="1"/>
    <col min="16125" max="16384" width="9.109375" style="39"/>
  </cols>
  <sheetData>
    <row r="1" spans="1:6" x14ac:dyDescent="0.3">
      <c r="A1" s="253" t="s">
        <v>295</v>
      </c>
      <c r="B1" s="253"/>
      <c r="C1" s="253"/>
      <c r="D1" s="253"/>
      <c r="E1" s="253"/>
      <c r="F1" s="253"/>
    </row>
    <row r="2" spans="1:6" s="67" customFormat="1" ht="31.5" customHeight="1" x14ac:dyDescent="0.3">
      <c r="A2" s="11" t="s">
        <v>5</v>
      </c>
      <c r="B2" s="12" t="s">
        <v>0</v>
      </c>
      <c r="C2" s="54" t="s">
        <v>6</v>
      </c>
      <c r="D2" s="54" t="s">
        <v>3</v>
      </c>
      <c r="E2" s="90" t="s">
        <v>253</v>
      </c>
      <c r="F2" s="95" t="s">
        <v>254</v>
      </c>
    </row>
    <row r="3" spans="1:6" s="67" customFormat="1" x14ac:dyDescent="0.25">
      <c r="A3" s="12" t="s">
        <v>60</v>
      </c>
      <c r="B3" s="12" t="s">
        <v>59</v>
      </c>
      <c r="C3" s="16"/>
      <c r="D3" s="54"/>
      <c r="E3" s="91"/>
      <c r="F3" s="93"/>
    </row>
    <row r="4" spans="1:6" s="67" customFormat="1" ht="16.2" x14ac:dyDescent="0.25">
      <c r="A4" s="49" t="s">
        <v>61</v>
      </c>
      <c r="B4" s="33" t="s">
        <v>82</v>
      </c>
      <c r="C4" s="16" t="s">
        <v>275</v>
      </c>
      <c r="D4" s="31">
        <v>6.4</v>
      </c>
      <c r="E4" s="91">
        <f>BPU!D18</f>
        <v>0</v>
      </c>
      <c r="F4" s="96">
        <f t="shared" ref="F4:F30" si="0">+E4*D4</f>
        <v>0</v>
      </c>
    </row>
    <row r="5" spans="1:6" s="67" customFormat="1" ht="15.75" customHeight="1" x14ac:dyDescent="0.25">
      <c r="A5" s="255" t="s">
        <v>74</v>
      </c>
      <c r="B5" s="256"/>
      <c r="C5" s="84"/>
      <c r="D5" s="84"/>
      <c r="E5" s="85"/>
      <c r="F5" s="97">
        <f>SUM(F4)</f>
        <v>0</v>
      </c>
    </row>
    <row r="6" spans="1:6" s="67" customFormat="1" x14ac:dyDescent="0.25">
      <c r="A6" s="12" t="s">
        <v>12</v>
      </c>
      <c r="B6" s="12" t="s">
        <v>13</v>
      </c>
      <c r="C6" s="16"/>
      <c r="D6" s="54"/>
      <c r="E6" s="91"/>
      <c r="F6" s="96"/>
    </row>
    <row r="7" spans="1:6" s="67" customFormat="1" ht="16.2" x14ac:dyDescent="0.25">
      <c r="A7" s="49" t="s">
        <v>67</v>
      </c>
      <c r="B7" s="33" t="s">
        <v>393</v>
      </c>
      <c r="C7" s="16" t="s">
        <v>275</v>
      </c>
      <c r="D7" s="31">
        <f>10*0.5*0.05</f>
        <v>0.25</v>
      </c>
      <c r="E7" s="91">
        <f>+BPU!D25</f>
        <v>0</v>
      </c>
      <c r="F7" s="96">
        <f t="shared" si="0"/>
        <v>0</v>
      </c>
    </row>
    <row r="8" spans="1:6" s="67" customFormat="1" ht="16.2" x14ac:dyDescent="0.25">
      <c r="A8" s="49" t="s">
        <v>68</v>
      </c>
      <c r="B8" s="33" t="s">
        <v>192</v>
      </c>
      <c r="C8" s="16" t="s">
        <v>275</v>
      </c>
      <c r="D8" s="31">
        <f>6*3*0.05</f>
        <v>0.9</v>
      </c>
      <c r="E8" s="91">
        <f>+BPU!D26</f>
        <v>0</v>
      </c>
      <c r="F8" s="96">
        <f t="shared" si="0"/>
        <v>0</v>
      </c>
    </row>
    <row r="9" spans="1:6" s="67" customFormat="1" ht="15.75" customHeight="1" x14ac:dyDescent="0.25">
      <c r="A9" s="260" t="s">
        <v>75</v>
      </c>
      <c r="B9" s="261"/>
      <c r="C9" s="84"/>
      <c r="D9" s="84"/>
      <c r="E9" s="85"/>
      <c r="F9" s="97">
        <f>SUM(F7:F8)</f>
        <v>0</v>
      </c>
    </row>
    <row r="10" spans="1:6" s="67" customFormat="1" x14ac:dyDescent="0.25">
      <c r="A10" s="12" t="s">
        <v>15</v>
      </c>
      <c r="B10" s="12" t="s">
        <v>14</v>
      </c>
      <c r="C10" s="16"/>
      <c r="D10" s="54"/>
      <c r="E10" s="91"/>
      <c r="F10" s="96"/>
    </row>
    <row r="11" spans="1:6" s="67" customFormat="1" ht="16.2" x14ac:dyDescent="0.25">
      <c r="A11" s="49" t="s">
        <v>69</v>
      </c>
      <c r="B11" s="33" t="s">
        <v>297</v>
      </c>
      <c r="C11" s="16" t="s">
        <v>275</v>
      </c>
      <c r="D11" s="31">
        <f>6*3*0.03</f>
        <v>0.54</v>
      </c>
      <c r="E11" s="91">
        <f>+BPU!D36</f>
        <v>0</v>
      </c>
      <c r="F11" s="96">
        <f>+E11*D11</f>
        <v>0</v>
      </c>
    </row>
    <row r="12" spans="1:6" s="67" customFormat="1" ht="16.2" x14ac:dyDescent="0.25">
      <c r="A12" s="49" t="s">
        <v>70</v>
      </c>
      <c r="B12" s="33" t="s">
        <v>7</v>
      </c>
      <c r="C12" s="16" t="s">
        <v>275</v>
      </c>
      <c r="D12" s="31">
        <f>5*3*0.3</f>
        <v>4.5</v>
      </c>
      <c r="E12" s="91">
        <f>+BPU!D37</f>
        <v>0</v>
      </c>
      <c r="F12" s="96">
        <f t="shared" si="0"/>
        <v>0</v>
      </c>
    </row>
    <row r="13" spans="1:6" s="67" customFormat="1" ht="15.75" customHeight="1" x14ac:dyDescent="0.25">
      <c r="A13" s="255" t="s">
        <v>76</v>
      </c>
      <c r="B13" s="256"/>
      <c r="C13" s="84"/>
      <c r="D13" s="84"/>
      <c r="E13" s="85"/>
      <c r="F13" s="97">
        <f>SUM(F11:F12)</f>
        <v>0</v>
      </c>
    </row>
    <row r="14" spans="1:6" s="67" customFormat="1" x14ac:dyDescent="0.25">
      <c r="A14" s="12" t="s">
        <v>17</v>
      </c>
      <c r="B14" s="12" t="s">
        <v>18</v>
      </c>
      <c r="C14" s="16"/>
      <c r="D14" s="54"/>
      <c r="E14" s="91"/>
      <c r="F14" s="96"/>
    </row>
    <row r="15" spans="1:6" s="67" customFormat="1" ht="27.6" x14ac:dyDescent="0.3">
      <c r="A15" s="220" t="s">
        <v>403</v>
      </c>
      <c r="B15" s="36" t="s">
        <v>394</v>
      </c>
      <c r="C15" s="61" t="s">
        <v>1</v>
      </c>
      <c r="D15" s="31">
        <f>+(8*2)+(4*5)</f>
        <v>36</v>
      </c>
      <c r="E15" s="91">
        <f>+BPU!D43</f>
        <v>0</v>
      </c>
      <c r="F15" s="96">
        <f t="shared" si="0"/>
        <v>0</v>
      </c>
    </row>
    <row r="16" spans="1:6" s="67" customFormat="1" ht="15.75" customHeight="1" x14ac:dyDescent="0.25">
      <c r="A16" s="255" t="s">
        <v>77</v>
      </c>
      <c r="B16" s="256"/>
      <c r="C16" s="84"/>
      <c r="D16" s="84"/>
      <c r="E16" s="85"/>
      <c r="F16" s="97">
        <f>SUM(F15:F15)</f>
        <v>0</v>
      </c>
    </row>
    <row r="17" spans="1:8" s="67" customFormat="1" x14ac:dyDescent="0.25">
      <c r="A17" s="12" t="s">
        <v>19</v>
      </c>
      <c r="B17" s="12" t="s">
        <v>26</v>
      </c>
      <c r="C17" s="16"/>
      <c r="D17" s="54"/>
      <c r="E17" s="91"/>
      <c r="F17" s="96"/>
      <c r="H17" s="88"/>
    </row>
    <row r="18" spans="1:8" s="67" customFormat="1" x14ac:dyDescent="0.25">
      <c r="A18" s="12" t="s">
        <v>22</v>
      </c>
      <c r="B18" s="12" t="s">
        <v>20</v>
      </c>
      <c r="C18" s="16"/>
      <c r="D18" s="54"/>
      <c r="E18" s="91"/>
      <c r="F18" s="96"/>
    </row>
    <row r="19" spans="1:8" s="67" customFormat="1" ht="16.2" x14ac:dyDescent="0.3">
      <c r="A19" s="49" t="s">
        <v>23</v>
      </c>
      <c r="B19" s="33" t="s">
        <v>395</v>
      </c>
      <c r="C19" s="61" t="s">
        <v>279</v>
      </c>
      <c r="D19" s="31">
        <v>36</v>
      </c>
      <c r="E19" s="91">
        <f>BPU!D47</f>
        <v>0</v>
      </c>
      <c r="F19" s="96">
        <f t="shared" si="0"/>
        <v>0</v>
      </c>
    </row>
    <row r="20" spans="1:8" s="67" customFormat="1" x14ac:dyDescent="0.3">
      <c r="A20" s="12" t="s">
        <v>233</v>
      </c>
      <c r="B20" s="29" t="s">
        <v>232</v>
      </c>
      <c r="C20" s="61"/>
      <c r="D20" s="54"/>
      <c r="E20" s="91"/>
      <c r="F20" s="96"/>
    </row>
    <row r="21" spans="1:8" s="67" customFormat="1" ht="30" x14ac:dyDescent="0.3">
      <c r="A21" s="49" t="s">
        <v>140</v>
      </c>
      <c r="B21" s="33" t="s">
        <v>284</v>
      </c>
      <c r="C21" s="61" t="s">
        <v>279</v>
      </c>
      <c r="D21" s="31">
        <f>5*3</f>
        <v>15</v>
      </c>
      <c r="E21" s="91">
        <f>+BPU!D52</f>
        <v>0</v>
      </c>
      <c r="F21" s="93">
        <f t="shared" si="0"/>
        <v>0</v>
      </c>
    </row>
    <row r="22" spans="1:8" s="67" customFormat="1" ht="15.75" customHeight="1" x14ac:dyDescent="0.25">
      <c r="A22" s="255" t="s">
        <v>78</v>
      </c>
      <c r="B22" s="256"/>
      <c r="C22" s="84"/>
      <c r="D22" s="84"/>
      <c r="E22" s="85"/>
      <c r="F22" s="97">
        <f>SUM(F19:F21)</f>
        <v>0</v>
      </c>
    </row>
    <row r="23" spans="1:8" s="67" customFormat="1" x14ac:dyDescent="0.25">
      <c r="A23" s="12" t="s">
        <v>31</v>
      </c>
      <c r="B23" s="12" t="s">
        <v>30</v>
      </c>
      <c r="C23" s="16"/>
      <c r="D23" s="54"/>
      <c r="E23" s="91"/>
      <c r="F23" s="96"/>
    </row>
    <row r="24" spans="1:8" s="67" customFormat="1" x14ac:dyDescent="0.25">
      <c r="A24" s="49" t="s">
        <v>32</v>
      </c>
      <c r="B24" s="33" t="str">
        <f>+BPU!B55</f>
        <v>Rampant en tube métallique 60x40x1,2</v>
      </c>
      <c r="C24" s="16" t="s">
        <v>2</v>
      </c>
      <c r="D24" s="31">
        <v>12</v>
      </c>
      <c r="E24" s="91">
        <f>+BPU!D55</f>
        <v>0</v>
      </c>
      <c r="F24" s="96">
        <f t="shared" si="0"/>
        <v>0</v>
      </c>
    </row>
    <row r="25" spans="1:8" s="67" customFormat="1" x14ac:dyDescent="0.25">
      <c r="A25" s="49" t="s">
        <v>33</v>
      </c>
      <c r="B25" s="33" t="s">
        <v>234</v>
      </c>
      <c r="C25" s="16" t="s">
        <v>2</v>
      </c>
      <c r="D25" s="31">
        <v>20</v>
      </c>
      <c r="E25" s="91">
        <f>+BPU!D56</f>
        <v>0</v>
      </c>
      <c r="F25" s="96">
        <f t="shared" si="0"/>
        <v>0</v>
      </c>
    </row>
    <row r="26" spans="1:8" s="67" customFormat="1" ht="27.6" x14ac:dyDescent="0.25">
      <c r="A26" s="49" t="s">
        <v>404</v>
      </c>
      <c r="B26" s="33" t="s">
        <v>87</v>
      </c>
      <c r="C26" s="16" t="s">
        <v>2</v>
      </c>
      <c r="D26" s="31">
        <v>15</v>
      </c>
      <c r="E26" s="91">
        <f>+BPU!D61</f>
        <v>0</v>
      </c>
      <c r="F26" s="93">
        <f t="shared" si="0"/>
        <v>0</v>
      </c>
    </row>
    <row r="27" spans="1:8" s="67" customFormat="1" ht="15.75" customHeight="1" x14ac:dyDescent="0.25">
      <c r="A27" s="255" t="s">
        <v>79</v>
      </c>
      <c r="B27" s="256"/>
      <c r="C27" s="84"/>
      <c r="D27" s="84"/>
      <c r="E27" s="85"/>
      <c r="F27" s="97">
        <f>SUM(F24:F26)</f>
        <v>0</v>
      </c>
    </row>
    <row r="28" spans="1:8" s="67" customFormat="1" x14ac:dyDescent="0.25">
      <c r="A28" s="12" t="s">
        <v>35</v>
      </c>
      <c r="B28" s="12" t="s">
        <v>34</v>
      </c>
      <c r="C28" s="30"/>
      <c r="D28" s="54"/>
      <c r="E28" s="91"/>
      <c r="F28" s="96"/>
    </row>
    <row r="29" spans="1:8" s="67" customFormat="1" x14ac:dyDescent="0.25">
      <c r="A29" s="12" t="s">
        <v>71</v>
      </c>
      <c r="B29" s="29" t="s">
        <v>36</v>
      </c>
      <c r="C29" s="16"/>
      <c r="D29" s="54"/>
      <c r="E29" s="91"/>
      <c r="F29" s="96"/>
    </row>
    <row r="30" spans="1:8" s="67" customFormat="1" ht="27.6" x14ac:dyDescent="0.3">
      <c r="A30" s="49" t="s">
        <v>350</v>
      </c>
      <c r="B30" s="15" t="s">
        <v>365</v>
      </c>
      <c r="C30" s="61" t="s">
        <v>73</v>
      </c>
      <c r="D30" s="31">
        <v>3</v>
      </c>
      <c r="E30" s="91">
        <f>+BPU!D70</f>
        <v>0</v>
      </c>
      <c r="F30" s="96">
        <f t="shared" si="0"/>
        <v>0</v>
      </c>
    </row>
    <row r="31" spans="1:8" s="67" customFormat="1" ht="15.75" customHeight="1" x14ac:dyDescent="0.25">
      <c r="A31" s="255" t="s">
        <v>80</v>
      </c>
      <c r="B31" s="256"/>
      <c r="C31" s="84"/>
      <c r="D31" s="84"/>
      <c r="E31" s="85"/>
      <c r="F31" s="98">
        <f>SUM(F30)</f>
        <v>0</v>
      </c>
    </row>
    <row r="32" spans="1:8" x14ac:dyDescent="0.25">
      <c r="A32" s="241" t="s">
        <v>294</v>
      </c>
      <c r="B32" s="242"/>
      <c r="C32" s="242"/>
      <c r="D32" s="242"/>
      <c r="E32" s="243"/>
      <c r="F32" s="94">
        <f>+F31+F27+F22+F16+F13+F9+F5</f>
        <v>0</v>
      </c>
    </row>
  </sheetData>
  <mergeCells count="9">
    <mergeCell ref="A32:E32"/>
    <mergeCell ref="A1:F1"/>
    <mergeCell ref="A5:B5"/>
    <mergeCell ref="A9:B9"/>
    <mergeCell ref="A13:B13"/>
    <mergeCell ref="A16:B16"/>
    <mergeCell ref="A22:B22"/>
    <mergeCell ref="A27:B27"/>
    <mergeCell ref="A31:B3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1"/>
  <sheetViews>
    <sheetView workbookViewId="0">
      <selection activeCell="D16" sqref="D16"/>
    </sheetView>
  </sheetViews>
  <sheetFormatPr baseColWidth="10" defaultColWidth="11.5546875" defaultRowHeight="13.8" x14ac:dyDescent="0.25"/>
  <cols>
    <col min="1" max="1" width="3.44140625" style="100" bestFit="1" customWidth="1"/>
    <col min="2" max="2" width="49.33203125" style="100" customWidth="1"/>
    <col min="3" max="3" width="21.6640625" style="100" bestFit="1" customWidth="1"/>
    <col min="4" max="16384" width="11.5546875" style="100"/>
  </cols>
  <sheetData>
    <row r="1" spans="1:4" ht="36" customHeight="1" x14ac:dyDescent="0.25">
      <c r="A1" s="264" t="s">
        <v>287</v>
      </c>
      <c r="B1" s="264"/>
      <c r="C1" s="264"/>
    </row>
    <row r="2" spans="1:4" x14ac:dyDescent="0.25">
      <c r="A2" s="101"/>
      <c r="B2" s="101"/>
      <c r="C2" s="102"/>
    </row>
    <row r="3" spans="1:4" x14ac:dyDescent="0.25">
      <c r="A3" s="103" t="s">
        <v>5</v>
      </c>
      <c r="B3" s="104" t="s">
        <v>0</v>
      </c>
      <c r="C3" s="105" t="s">
        <v>272</v>
      </c>
    </row>
    <row r="4" spans="1:4" ht="15.75" customHeight="1" x14ac:dyDescent="0.25">
      <c r="A4" s="106">
        <v>1</v>
      </c>
      <c r="B4" s="40" t="s">
        <v>288</v>
      </c>
      <c r="C4" s="107">
        <f>+'DQE. AT. SOUDURE'!F50</f>
        <v>0</v>
      </c>
    </row>
    <row r="5" spans="1:4" x14ac:dyDescent="0.25">
      <c r="A5" s="106">
        <v>2</v>
      </c>
      <c r="B5" s="40" t="s">
        <v>296</v>
      </c>
      <c r="C5" s="107">
        <f>+'DQE. BLOC ADMN'!F110</f>
        <v>0</v>
      </c>
    </row>
    <row r="6" spans="1:4" ht="27.6" x14ac:dyDescent="0.25">
      <c r="A6" s="106">
        <v>3</v>
      </c>
      <c r="B6" s="40" t="s">
        <v>286</v>
      </c>
      <c r="C6" s="107">
        <f>+DQE.TAA!F106</f>
        <v>0</v>
      </c>
    </row>
    <row r="7" spans="1:4" x14ac:dyDescent="0.25">
      <c r="A7" s="106">
        <v>4</v>
      </c>
      <c r="B7" s="40" t="s">
        <v>269</v>
      </c>
      <c r="C7" s="107">
        <f>+'DQE.BLOC SANITAIRE'!F57</f>
        <v>0</v>
      </c>
      <c r="D7" s="205"/>
    </row>
    <row r="8" spans="1:4" ht="41.4" x14ac:dyDescent="0.25">
      <c r="A8" s="106">
        <v>5</v>
      </c>
      <c r="B8" s="40" t="s">
        <v>285</v>
      </c>
      <c r="C8" s="107">
        <f>+'DQE.SALLE DE CLASSE'!F67</f>
        <v>0</v>
      </c>
      <c r="D8" s="205"/>
    </row>
    <row r="9" spans="1:4" ht="22.5" customHeight="1" x14ac:dyDescent="0.25">
      <c r="A9" s="106">
        <v>6</v>
      </c>
      <c r="B9" s="40" t="s">
        <v>270</v>
      </c>
      <c r="C9" s="107">
        <f>+'DQE.LOCAL TECHNIQUE'!F28</f>
        <v>0</v>
      </c>
    </row>
    <row r="10" spans="1:4" ht="21.75" customHeight="1" x14ac:dyDescent="0.25">
      <c r="A10" s="106">
        <v>7</v>
      </c>
      <c r="B10" s="40" t="s">
        <v>273</v>
      </c>
      <c r="C10" s="107">
        <f>+DQE.FOUR!F32</f>
        <v>0</v>
      </c>
    </row>
    <row r="11" spans="1:4" x14ac:dyDescent="0.25">
      <c r="A11" s="262" t="s">
        <v>274</v>
      </c>
      <c r="B11" s="263"/>
      <c r="C11" s="108">
        <f>SUM(C4:C10)</f>
        <v>0</v>
      </c>
    </row>
  </sheetData>
  <mergeCells count="2">
    <mergeCell ref="A11:B11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BPU</vt:lpstr>
      <vt:lpstr>DQE. AT. SOUDURE</vt:lpstr>
      <vt:lpstr>DQE. BLOC ADMN</vt:lpstr>
      <vt:lpstr>DQE.TAA</vt:lpstr>
      <vt:lpstr>DQE.BLOC SANITAIRE</vt:lpstr>
      <vt:lpstr>DQE.SALLE DE CLASSE</vt:lpstr>
      <vt:lpstr>DQE.LOCAL TECHNIQUE</vt:lpstr>
      <vt:lpstr>DQE.FOUR</vt:lpstr>
      <vt:lpstr>RECAPITULATIF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Jésus Marie</dc:creator>
  <cp:lastModifiedBy>Karine</cp:lastModifiedBy>
  <cp:lastPrinted>2023-05-30T06:54:15Z</cp:lastPrinted>
  <dcterms:created xsi:type="dcterms:W3CDTF">2021-03-24T06:35:23Z</dcterms:created>
  <dcterms:modified xsi:type="dcterms:W3CDTF">2023-06-27T06:37:56Z</dcterms:modified>
</cp:coreProperties>
</file>